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4.xml"/>
  <Override ContentType="application/vnd.openxmlformats-officedocument.drawingml.chart+xml" PartName="/xl/charts/chart9.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 sheetId="1" r:id="rId4"/>
    <sheet state="visible" name="Summary" sheetId="2" r:id="rId5"/>
    <sheet state="visible" name="Packages" sheetId="3" r:id="rId6"/>
    <sheet state="visible" name="Reduce heating hours" sheetId="4" r:id="rId7"/>
    <sheet state="visible" name="Reducing radiator temp" sheetId="5" r:id="rId8"/>
    <sheet state="visible" name="Turn off pre-heat" sheetId="6" r:id="rId9"/>
    <sheet state="visible" name="Reducing DHW temp. (cylinder)" sheetId="7" r:id="rId10"/>
    <sheet state="visible" name="Reducing DHW temp. (combi)" sheetId="8" r:id="rId11"/>
    <sheet state="visible" name="Moving furniture" sheetId="9" r:id="rId12"/>
    <sheet state="visible" name="Closing curtains" sheetId="10" r:id="rId13"/>
    <sheet state="visible" name="Window treatments" sheetId="11" r:id="rId14"/>
    <sheet state="visible" name="Loft insulation" sheetId="12" r:id="rId15"/>
    <sheet state="visible" name="Radiator foil" sheetId="13" r:id="rId16"/>
    <sheet state="visible" name="Smart thermostats &amp; compensn" sheetId="14" r:id="rId17"/>
    <sheet state="visible" name="TRVs" sheetId="15" r:id="rId18"/>
    <sheet state="visible" name="Assumptions" sheetId="16" r:id="rId19"/>
    <sheet state="visible" name="Tariffs" sheetId="17" r:id="rId20"/>
    <sheet state="visible" name="References" sheetId="18" r:id="rId21"/>
    <sheet state="visible" name="Modelling Notes" sheetId="19" r:id="rId22"/>
    <sheet state="visible" name="Change Log" sheetId="20" r:id="rId23"/>
  </sheets>
  <externalReferences>
    <externalReference r:id="rId24"/>
    <externalReference r:id="rId25"/>
    <externalReference r:id="rId26"/>
  </externalReferences>
  <definedNames>
    <definedName name="Air_specific_heat_by_volume">'[1]Refrig. Assumptions+Calcs'!$B$111</definedName>
    <definedName name="Bath_temperature_high">'[1]Hot Water Assumptions+Calcs'!$C$11</definedName>
    <definedName name="Bath_temperature_low">'[1]Hot Water Assumptions+Calcs'!$B$11</definedName>
    <definedName name="Bath_temperature_med">'[1]Hot Water Assumptions+Calcs'!$D$11</definedName>
    <definedName name="Bath_volume_high">'[1]Hot Water Assumptions+Calcs'!$C$18</definedName>
    <definedName name="Bath_volume_low">'[1]Hot Water Assumptions+Calcs'!$B$18</definedName>
    <definedName name="Bath_volume_med">'[1]Hot Water Assumptions+Calcs'!$D$18</definedName>
    <definedName name="Cold_water_temp_high">'[1]Hot Water Assumptions+Calcs'!$C$7</definedName>
    <definedName name="Cold_water_temp_low">'[1]Hot Water Assumptions+Calcs'!$B$7</definedName>
    <definedName name="Cold_water_temp_med">'[1]Hot Water Assumptions+Calcs'!$D$7</definedName>
    <definedName name="Dishwasher_energy_high">'[1]Washing Assumptions+Calcs'!$C$7</definedName>
    <definedName name="Dishwasher_energy_low">'[1]Washing Assumptions+Calcs'!$B$7</definedName>
    <definedName name="Dishwasher_energy_med">'[1]Washing Assumptions+Calcs'!$D$7</definedName>
    <definedName name="Dishwasher_freq_high">'[1]Washing Assumptions+Calcs'!$C$5</definedName>
    <definedName name="dishwasher_freq_low">'[1]Washing Assumptions+Calcs'!$B$5</definedName>
    <definedName name="Dishwasher_freq_med">'[1]Washing Assumptions+Calcs'!$D$5</definedName>
    <definedName name="Drip_rate_high">'[1]Hot Water Assumptions+Calcs'!$C$26</definedName>
    <definedName name="Drip_rate_low">'[1]Hot Water Assumptions+Calcs'!$B$26</definedName>
    <definedName name="Drip_rate_med">'[1]Hot Water Assumptions+Calcs'!$D$26</definedName>
    <definedName name="Hot_water_temp_high">'[1]Hot Water Assumptions+Calcs'!$C$8</definedName>
    <definedName name="Hot_water_temp_low">'[1]Hot Water Assumptions+Calcs'!$B$8</definedName>
    <definedName name="Hot_water_temp_med">'[1]Hot Water Assumptions+Calcs'!$D$8</definedName>
    <definedName name="Ice_specific_heat">'[1]Refrig. Assumptions+Calcs'!$B$108</definedName>
    <definedName name="Shower_duration_high">'[1]Hot Water Assumptions+Calcs'!$C$17</definedName>
    <definedName name="Shower_duration_low">'[1]Hot Water Assumptions+Calcs'!$B$17</definedName>
    <definedName name="Shower_duration_med">'[1]Hot Water Assumptions+Calcs'!$D$17</definedName>
    <definedName name="Shower_flow_high">'[1]Hot Water Assumptions+Calcs'!$C$13</definedName>
    <definedName name="Shower_flow_low">'[1]Hot Water Assumptions+Calcs'!$B$13</definedName>
    <definedName name="Shower_flow_med">'[1]Hot Water Assumptions+Calcs'!$D$13</definedName>
    <definedName name="Shower_temperature_high">'[1]Hot Water Assumptions+Calcs'!$C$10</definedName>
    <definedName name="Shower_temperature_low">'[1]Hot Water Assumptions+Calcs'!$B$10</definedName>
    <definedName name="Shower_temperature_med">'[1]Hot Water Assumptions+Calcs'!$D$10</definedName>
    <definedName name="Water_heating_efficiency_high">'[1]Hot Water Assumptions+Calcs'!$C$5</definedName>
    <definedName name="Water_heating_efficiency_low">'[1]Hot Water Assumptions+Calcs'!$B$5</definedName>
    <definedName name="Water_heating_efficiency_med">'[1]Hot Water Assumptions+Calcs'!$D$5</definedName>
    <definedName name="Water_latent_heat_ice">'[1]Refrig. Assumptions+Calcs'!$B$109</definedName>
    <definedName name="Water_latent_heat_steam">'[1]Refrig. Assumptions+Calcs'!$B$110</definedName>
    <definedName name="Water_sat_air">'[1]Refrig. Assumptions+Calcs'!$B$112</definedName>
    <definedName name="Water_specific_heat">'[1]Refrig. Assumptions+Calcs'!$B$106</definedName>
    <definedName name="gasBillPropSpace">Assumptions!$B$32</definedName>
    <definedName name="carbonElectricitryPerkWh">Assumptions!$B$7</definedName>
    <definedName name="kwhPerKtoe">Assumptions!$B$4</definedName>
    <definedName name="TotalGasBoilers">Assumptions!$C$96</definedName>
    <definedName name="propGasHeatingEngland">Assumptions!$B$64</definedName>
    <definedName name="carbonOilPerkWh">Assumptions!$B$8</definedName>
    <definedName name="propStorageHeatersEngland">Assumptions!$B$66</definedName>
    <definedName name="oilPriceP">Assumptions!$B$15</definedName>
    <definedName name="electricityPriceDualRateP">Assumptions!$B$13</definedName>
    <definedName name="MeanDomesticGasBill">Assumptions!$B$31</definedName>
    <definedName name="numberDwellingsUK">Assumptions!$B$19</definedName>
    <definedName name="TotalOilBoilers">Assumptions!$C$97</definedName>
    <definedName name="numOtherElectricHeatersEngland">Assumptions!$C$67</definedName>
    <definedName name="TotalDomesticOilkWh">Assumptions!$B$37</definedName>
    <definedName name="propHomesOilHeating">Assumptions!$B$41</definedName>
    <definedName name="numOilHeatingEngland">Assumptions!$C$65</definedName>
    <definedName name="numStorageHeatersEngland">Assumptions!$C$66</definedName>
    <definedName name="numberHomesOtherElectricHeaters">Assumptions!$B$53</definedName>
    <definedName name="oilBillPropSpace">Assumptions!$B$43</definedName>
    <definedName name="numGasHeatingEngland">Assumptions!$C$64</definedName>
    <definedName name="MeanDomesticElectricHeatingBill">Assumptions!$B$56</definedName>
    <definedName name="numberHomesOilHeating">Assumptions!$B$40</definedName>
    <definedName name="propHomesOtherElectricHeaters">Assumptions!$B$55</definedName>
    <definedName name="propHomesGasHeating">Assumptions!$B$30</definedName>
    <definedName name="propHomesStorageHeaters">Assumptions!$B$54</definedName>
    <definedName name="kwhPerToe">Assumptions!$B$3</definedName>
    <definedName name="numberHomesStorageHeater">Assumptions!$B$52</definedName>
    <definedName name="numberHomesGasHeating">Assumptions!$B$29</definedName>
    <definedName name="carbonGasPerkWh">Assumptions!$B$5</definedName>
    <definedName name="propOilRegular">Assumptions!$B$44</definedName>
    <definedName name="MeanDomesticOilBill">Assumptions!$B$42</definedName>
    <definedName name="TotalDomesticGasKwh">Assumptions!$B$26</definedName>
    <definedName name="TotalStorageHeaters">Assumptions!$A$98</definedName>
    <definedName name="carbonGasTperGWh">Assumptions!$B$6</definedName>
    <definedName name="propOtherElectricHeatersEngland">Assumptions!$B$67</definedName>
    <definedName name="carbonGasTperMWh">Assumptions!$B$6</definedName>
    <definedName name="propGasRegular">Assumptions!$B$33</definedName>
    <definedName name="carbonElectricityPerkWh">Assumptions!$B$7</definedName>
    <definedName name="TotalDomesticElecHeatingkwh">Assumptions!$B$49</definedName>
    <definedName name="electricityPriceP">Assumptions!$B$12</definedName>
    <definedName name="TotalOtherElectricHeaters">Assumptions!$A$99</definedName>
    <definedName name="TotalStorageHeaterskWh">Assumptions!$B$57</definedName>
    <definedName name="TotalOtherElectrickWh">Assumptions!$B$58</definedName>
    <definedName name="numberDwellingsEngland">Assumptions!$B$11</definedName>
    <definedName name="propOilHeatingEngland">Assumptions!$B$65</definedName>
    <definedName name="gasPriceP">Assumptions!$B$11</definedName>
  </definedNames>
  <calcPr/>
  <extLst>
    <ext uri="GoogleSheetsCustomDataVersion2">
      <go:sheetsCustomData xmlns:go="http://customooxmlschemas.google.com/" r:id="rId27" roundtripDataChecksum="mBubLyG0YqXmM7Gi3uilojJ2v2ibhf8cFM9rMjW9mJg="/>
    </ext>
  </extLst>
</workbook>
</file>

<file path=xl/comments1.xml><?xml version="1.0" encoding="utf-8"?>
<comments xmlns:r="http://schemas.openxmlformats.org/officeDocument/2006/relationships" xmlns="http://schemas.openxmlformats.org/spreadsheetml/2006/main">
  <authors>
    <author/>
  </authors>
  <commentList>
    <comment authorId="0" ref="F16">
      <text>
        <t xml:space="preserve">======
ID#AAAA5ccdfKw
tc={2DFF7FF5-102A-4641-999C-577AC4CF655B}    (2023-09-18 16:08:29)
[Threaded comment]
Your version of Excel allows you to read this threaded comment; however, any edits to it will get removed if the file is opened in a newer version of Excel. Learn more: https://go.microsoft.com/fwlink/?linkid=870924
Comment:
    Check title - I can’t edit it
Reply:
    Change ‘these estimates of energy savings’ to ‘these energy savings estimates’</t>
      </text>
    </comment>
  </commentList>
  <extLst>
    <ext uri="GoogleSheetsCustomDataVersion2">
      <go:sheetsCustomData xmlns:go="http://customooxmlschemas.google.com/" r:id="rId1" roundtripDataSignature="AMtx7mhExhqb8flY0YpRRT5t9ljbhNnOug=="/>
    </ext>
  </extLst>
</comments>
</file>

<file path=xl/comments2.xml><?xml version="1.0" encoding="utf-8"?>
<comments xmlns:r="http://schemas.openxmlformats.org/officeDocument/2006/relationships" xmlns="http://schemas.openxmlformats.org/spreadsheetml/2006/main">
  <authors>
    <author/>
  </authors>
  <commentList>
    <comment authorId="0" ref="K20">
      <text>
        <t xml:space="preserve">======
ID#AAAA5ccdfK0
Nicola Terry    (2023-09-18 16:08:29)
Homes with less loft insulation have lower bills so these figures are based on the typical savings as a proportion of the actual bill rather than the mean bill (from the CHM).</t>
      </text>
    </comment>
    <comment authorId="0" ref="Z10">
      <text>
        <t xml:space="preserve">======
ID#AAAA5ccdfKs
CAR    (2023-09-18 16:08:29)
Standard rate electricity is used for this cell as the measure does not apply to storage radiators.</t>
      </text>
    </comment>
  </commentList>
  <extLst>
    <ext uri="GoogleSheetsCustomDataVersion2">
      <go:sheetsCustomData xmlns:go="http://customooxmlschemas.google.com/" r:id="rId1" roundtripDataSignature="AMtx7mjuvlDu3HVcS4UpEb+2pYpyUOIZ1A=="/>
    </ext>
  </extLst>
</comments>
</file>

<file path=xl/comments3.xml><?xml version="1.0" encoding="utf-8"?>
<comments xmlns:r="http://schemas.openxmlformats.org/officeDocument/2006/relationships" xmlns="http://schemas.openxmlformats.org/spreadsheetml/2006/main">
  <authors>
    <author/>
  </authors>
  <commentList>
    <comment authorId="0" ref="C103">
      <text>
        <t xml:space="preserve">======
ID#AAAA5hyR0k0
Madeleine Gabriel    (2023-09-19 15:03:01)
MG: why is this lower than the saving quoted in summary? Check how the multiplication factors work</t>
      </text>
    </comment>
  </commentList>
  <extLst>
    <ext uri="GoogleSheetsCustomDataVersion2">
      <go:sheetsCustomData xmlns:go="http://customooxmlschemas.google.com/" r:id="rId1" roundtripDataSignature="AMtx7mjhoijubbOt2ArCGrn0fo9WmkkqaA=="/>
    </ext>
  </extLst>
</comments>
</file>

<file path=xl/sharedStrings.xml><?xml version="1.0" encoding="utf-8"?>
<sst xmlns="http://schemas.openxmlformats.org/spreadsheetml/2006/main" count="2129" uniqueCount="990">
  <si>
    <t>These estimates of energy savings were assembled by Cambridge Architectural Research in August-September 2022, and revised in August 2023, under contract to Nesta, the UK innovation agency for social good. This work builds on the work CAR carried out for the Department of Energy and Climate Change (now DESNZ) in 2012. The methods are updated, and the UK housing stock is now larger and somewhat more energy efficient, so the findings are not directly comparable.
In all cases, per-dwelling energy savings are estimated using the best-available evidence, supplemented by modelling and explicit assumptions that are recorded in the worksheets here. In many cases the evidence base is limited, and likely to improve over time. This workbook is intended to be updated over time as more evidence becomes available.
There is more information about the Cambridge Housing Model, used as a starting point for some of the estimates, here:
http://tinyurl.com/HousingFactFile
There is also more information about CODE, the Cost-Optimal Domestic Electrification model, which is also used for some estimates, here:
https://www.gov.uk/government/publications/cost-optimal-domestic-electrification-code
CAR's original work quantifying energy-saving behaviours is available here:
https://www.gov.uk/government/publications/how-much-energy-could-be-saved-by-making-small-changes-to-everyday-household-behaviours</t>
  </si>
  <si>
    <t>Worksheets</t>
  </si>
  <si>
    <t>Overview</t>
  </si>
  <si>
    <t>Summary</t>
  </si>
  <si>
    <t>An overview of our findings, drawing information from all other sheets</t>
  </si>
  <si>
    <t>Packages</t>
  </si>
  <si>
    <t>Two illustrative packages of multiple energy-saving actions. Note that in most cases savings cannot be simply added together.</t>
  </si>
  <si>
    <t>Other sheets</t>
  </si>
  <si>
    <t>Detailed discussion and calculations behind each of the Energy-Saving Actions listed in the Summary sheet</t>
  </si>
  <si>
    <t>Activity</t>
  </si>
  <si>
    <t>Bill savings per participating household kWh/year</t>
  </si>
  <si>
    <t>Indicative % saving from gas 
bill (gas only, Medium)</t>
  </si>
  <si>
    <t>Millions of homes (UK)</t>
  </si>
  <si>
    <t>Proportion of dwellings that could adopt the measure</t>
  </si>
  <si>
    <t>Bill savings per participating household £/year</t>
  </si>
  <si>
    <t>UK Stock total carbon savings kt/year</t>
  </si>
  <si>
    <t>UK Stock total energy savings TWh/year</t>
  </si>
  <si>
    <t>UK Stock total energy savings £ (medium only)</t>
  </si>
  <si>
    <t>Comfort improvement</t>
  </si>
  <si>
    <t>Evidence base (*=weak, ***=adequate)</t>
  </si>
  <si>
    <t>Add or multiply to calculate packages</t>
  </si>
  <si>
    <t>Gas</t>
  </si>
  <si>
    <t>Oil</t>
  </si>
  <si>
    <t>Electricity</t>
  </si>
  <si>
    <t>Low</t>
  </si>
  <si>
    <t>Medium</t>
  </si>
  <si>
    <t>High</t>
  </si>
  <si>
    <t>**</t>
  </si>
  <si>
    <t>Multiply</t>
  </si>
  <si>
    <t>*</t>
  </si>
  <si>
    <t>Add</t>
  </si>
  <si>
    <t>Moving furniture away from radiators</t>
  </si>
  <si>
    <t>Bills will increase if they change at all, unless this measure is combined with turning down the thermostat or reducing radiator temperatures.</t>
  </si>
  <si>
    <t>-</t>
  </si>
  <si>
    <t>Closing curtains at night</t>
  </si>
  <si>
    <t>Installing loft insulation</t>
  </si>
  <si>
    <t>None to 300mm*</t>
  </si>
  <si>
    <t>0- 50, to 300mm*</t>
  </si>
  <si>
    <t>50-100 to 300mm*</t>
  </si>
  <si>
    <t>***</t>
  </si>
  <si>
    <t>Installing foil behind radiators</t>
  </si>
  <si>
    <t>... Against filled cavity walls (as built)</t>
  </si>
  <si>
    <t>… against retrofit filled cavity walls</t>
  </si>
  <si>
    <t>… against solid walls or unfilled cavity walls</t>
  </si>
  <si>
    <t>Load compensation for boilers</t>
  </si>
  <si>
    <t>Weather compensation for boilers</t>
  </si>
  <si>
    <t>Smart thermostats (e.g. NEST)</t>
  </si>
  <si>
    <t>*Indicative gas savings are calculated by dividing kWh savings by typical gas use, with the exception of loft insulation, because homes with no loft insulation have very high gas use, which distorts the percentages.</t>
  </si>
  <si>
    <t>PACKAGES OF MEASURES</t>
  </si>
  <si>
    <t>kWh savings</t>
  </si>
  <si>
    <t>Multiplication factor for bill</t>
  </si>
  <si>
    <t>No upfront cost (Combi boiler)</t>
  </si>
  <si>
    <t>Reduce flow temperature to 55C (lower indoor temp)</t>
  </si>
  <si>
    <t>… to Flow 55°C (lower indoor temp)</t>
  </si>
  <si>
    <t>Close curtains at night</t>
  </si>
  <si>
    <t>Turn off pre-heat facility</t>
  </si>
  <si>
    <t>Readjusting existing TRVs outside the living room to 1.5°C cooler than before</t>
  </si>
  <si>
    <t>Sum of added measures</t>
  </si>
  <si>
    <t>kWh</t>
  </si>
  <si>
    <t>As a proportion of bill</t>
  </si>
  <si>
    <t xml:space="preserve">Apply savings via Multiply </t>
  </si>
  <si>
    <t>Resulting total yearly savings/ household</t>
  </si>
  <si>
    <t>%</t>
  </si>
  <si>
    <t>£</t>
  </si>
  <si>
    <t>No upfront cost (System boiler)</t>
  </si>
  <si>
    <t>Reducing the cylinder temperature to 60°C</t>
  </si>
  <si>
    <t>Resulting bill proportion</t>
  </si>
  <si>
    <t>Resulting total savings/ household</t>
  </si>
  <si>
    <t>Thermal comfort</t>
  </si>
  <si>
    <t>Upgrade loft insulation from 50-100 mm to 300mm</t>
  </si>
  <si>
    <t>Install smart thermostat</t>
  </si>
  <si>
    <t>Add window film to all windows</t>
  </si>
  <si>
    <t>Reduce flow temperature to 60C (efficiency only)</t>
  </si>
  <si>
    <t>… to Flow 60°C (same indoor temp)</t>
  </si>
  <si>
    <t>High bill savings (Combi Boiler)</t>
  </si>
  <si>
    <t>Install TRVs and ajust them to 3°C cooler outside the living room</t>
  </si>
  <si>
    <t>Starting from all rooms at the same temperature, adjust TRVs to 3°C cooler outside the living room</t>
  </si>
  <si>
    <t>Reduce flow temperature to 55°C (lower indoor temp)</t>
  </si>
  <si>
    <t>High bill savings (System Boiler)</t>
  </si>
  <si>
    <t>Install TRVs and adjust them to 3°C cooler outside the living room</t>
  </si>
  <si>
    <t>Reduce the cylinder temperature to 60°C</t>
  </si>
  <si>
    <t>To modify a package</t>
  </si>
  <si>
    <t>1) Add or modify the blue rows - ensuring that the corresponding value in Column J exactly matches the text in Column A of the Summary sheet. Copy Columns B-H from the examples to fetch the savings and multiplication factors from the Summary sheet.</t>
  </si>
  <si>
    <t>2) If necesssary (if the number of items in the package has changed) modify the formulae in the row 'Sum of added measures' to sum the action rows and in 'Apply savings via multiply' to multiply the action rows.</t>
  </si>
  <si>
    <t>To add a package</t>
  </si>
  <si>
    <t>Copy an existing package and modify it as above.</t>
  </si>
  <si>
    <t>Three 'set and forget' actions (Sep 2023)</t>
  </si>
  <si>
    <t>Reduce flow temperature to 60C (lower indoor temp)</t>
  </si>
  <si>
    <t>… to Flow 60°C (lower indoor temp)</t>
  </si>
  <si>
    <t>Reduce DHW temperature to 45°C (low savings), 42°C, or 40°C (high savings)</t>
  </si>
  <si>
    <t>Reduce heating hours</t>
  </si>
  <si>
    <t>This measure applied to all homes except those with storage heaters.</t>
  </si>
  <si>
    <t>Most people do not need heat when they are away from home or overnight. Heating only when heating is required saves energy (except when using a heat pump). Some households could reduce heating hours by, for example, turning the heating off earlier at night time, or earlier during the day when they go to work.</t>
  </si>
  <si>
    <t>This does not affect thermal comfort because it does not significantly affect the temperature when the heating is on. (We assume that the heating is reactivated in good time for when it is needed again.)</t>
  </si>
  <si>
    <t>The modelling approach here is to calculate the reduction in energy use calculated by standard energy models for a range of homes representing the stock. The reduction in energy use depends on the type of heating system, because they vary in the level of control - more control for wet radiator sustems, and less for storage radiators.</t>
  </si>
  <si>
    <r>
      <rPr>
        <rFont val="Calibri"/>
        <color theme="1"/>
        <sz val="12.0"/>
      </rPr>
      <t xml:space="preserve">We used two models to calculate these savings: the Cambridge Housing Model (CHM), and the CODE model. We tested the overall impact of reducing heating hours by 5 hours each week by adjusting the regular pattern of weekday heating to start later in the evening (6-10pm instead of 5-10pm). The overall results from the two models were comparable, although the CHM results were more variable and more skewed to the high savings from </t>
    </r>
    <r>
      <rPr>
        <rFont val="Calibri"/>
        <color theme="1"/>
        <sz val="12.0"/>
      </rPr>
      <t>dwellings with uninsulated solid walls.</t>
    </r>
  </si>
  <si>
    <t>From the CHM (which has more homes for comparison) the savings are greater in homes with high heat loss per unit floor area (i.e. poorly-insulated homes). However, savings are low in homes with storage heaters, primarily because these have low responsiveness and changing the hours of heating does not change the temperature very much. These effects are shown in the chart (right), based on data from the CHM modelling.</t>
  </si>
  <si>
    <t>The savings calculated in the CHM seem to be a little lower than those found in [EFUS]. In their full regression model the coefficient for heating hours was 1.57, with the dependent variable being the square root of the gas bill. (The regression equation is not specified so this is not entirely clear, but this is our interpretation.) The coefficient value implies that starting with a bill of 12,000 kWh/year, a reduction of 1 hour/day would mean an additional 346 kWh/year or 2.9%. Our calculation yields 1.59% from a reduction of 1 hour 5 days a week - scaled up to 1 hour per day this would be 2.2%.</t>
  </si>
  <si>
    <t>In this table, low and high levels are the 25% and 75% quantiles for savings across the stock.</t>
  </si>
  <si>
    <t>Bill savings per household (%)  modelled in the CHM</t>
  </si>
  <si>
    <t>Solid walls</t>
  </si>
  <si>
    <t>Other walls</t>
  </si>
  <si>
    <t>All homes</t>
  </si>
  <si>
    <t>Storage heaters</t>
  </si>
  <si>
    <t>These savings are so small we consider it unlikely that homes would adopt this measure, so these are omitted from modelling below.</t>
  </si>
  <si>
    <t>Other electric</t>
  </si>
  <si>
    <t xml:space="preserve">The results from CODE are consistent with the CHM (see chart) but CHM results are used here because they cover a wider variety of homes. </t>
  </si>
  <si>
    <t>Bill savings per household (%) CODE/CHM (gas only)</t>
  </si>
  <si>
    <t>CODE</t>
  </si>
  <si>
    <t>CHM</t>
  </si>
  <si>
    <t>Bill savings per household (proportion)</t>
  </si>
  <si>
    <t>For homes heated with gas</t>
  </si>
  <si>
    <t>Oil homes</t>
  </si>
  <si>
    <t>Savings for homes heated with oil are higher because heat loss is higher - more solid walls and single glazed windows. Also they tend to be larger with a higher proportion of heat for space heating rather than DHW.</t>
  </si>
  <si>
    <t>Other electric homes</t>
  </si>
  <si>
    <t>Bill savings per household (kWh or £)</t>
  </si>
  <si>
    <t>kWh/year</t>
  </si>
  <si>
    <t>£/year</t>
  </si>
  <si>
    <t>Proportion of homes</t>
  </si>
  <si>
    <t>For homes heated with oil</t>
  </si>
  <si>
    <t>For homes heated with electricity (not storage heaters)</t>
  </si>
  <si>
    <t>Mean for all homes</t>
  </si>
  <si>
    <t>Proportion of homes that can reduce heating hours</t>
  </si>
  <si>
    <t>Homes that have timed heating and could reduce it, or irregular habits that allow more turning off</t>
  </si>
  <si>
    <t>CAR expert opinion</t>
  </si>
  <si>
    <t>Proportion of all homes heated with gas</t>
  </si>
  <si>
    <t>Proportion of homes heated with oil</t>
  </si>
  <si>
    <t>Proportion of all homes heated with electricity (not storage heaters)</t>
  </si>
  <si>
    <t>Total</t>
  </si>
  <si>
    <t>Carbon savings over all households</t>
  </si>
  <si>
    <t>GHG emissions savings  (in homes using gas heating)</t>
  </si>
  <si>
    <t>kt/year</t>
  </si>
  <si>
    <t>GHG emissions savings (in homes with oil heating)</t>
  </si>
  <si>
    <t>GHG emissions savings (in homes with electric heating)</t>
  </si>
  <si>
    <t>Proporton of dwellings that could adopt the measure</t>
  </si>
  <si>
    <t>Stock level carbon savings kt/year</t>
  </si>
  <si>
    <t>Reducing hours of heating by 5 hours/week (set and forget)</t>
  </si>
  <si>
    <t>Number of participating households (thousands)</t>
  </si>
  <si>
    <t>Comfort Improvement</t>
  </si>
  <si>
    <t>Reducing the temperature of the water fed to radiators</t>
  </si>
  <si>
    <t>This measure applies to homes with gas combi boilers, except where the pipework or radiators is inadequate for lower tow emperature. (Some households may tolerate lower temperature in very cold weather, or adjust the flow temperature when needed.)</t>
  </si>
  <si>
    <t xml:space="preserve">Condensing boilers are more efficient when the return temperature (inlet to the boiler) is at 54°C or below. The lower the return temperature, the more latent heat from condensing the flue gases is retained. We estimate the impact of reducing the flow/return temperatures from 75/55°C to 60/45°C or 55/40°C. </t>
  </si>
  <si>
    <t>Definitions</t>
  </si>
  <si>
    <t>Flow temp.</t>
  </si>
  <si>
    <t>The temperature of fluid leaving the boiler to circulate through radiators</t>
  </si>
  <si>
    <t xml:space="preserve">Reducing flow temperature is normally only possible with combi boilers. In systems with stored hot water, the controls and pipework do not allow for different temperatures for hot water versus radiators. The hot water in the cylinder needs to be heated to at least 60°C to protect against Legionella, which means higher water temperature leaving the boiler. </t>
  </si>
  <si>
    <t>Return temp.</t>
  </si>
  <si>
    <t>The temperuture of fluid coming back from radiators to the boiler</t>
  </si>
  <si>
    <t>Boilers and radiators are typically sized for a Delta T of 20°C. This means that a mean water temperature (MWT) of 70°C equates to 80°C on the outlet (flow temperature) and 60°C on the return. Some boilers are supposed to adjust the pump speed to maintain this temperature difference. As radiators are less effective at lower temperatures, a lower flow temperature should mean increasing the flow rate. However we cannot rely on this and so we assume the Delta T is lower: 15°C at the lower temperatures. Some references give efficiences based on mean water temperature (MWT), which is half-way between the flow and return temperature.</t>
  </si>
  <si>
    <t>MWT</t>
  </si>
  <si>
    <t>Mean water temperature, in °C, average of flow and return</t>
  </si>
  <si>
    <t xml:space="preserve">The modelling approach here is to first determine the increase in efficiency which will apply to space heating using the lower flow temperature and then apply this to the space heating portion of gas heating demand. </t>
  </si>
  <si>
    <t xml:space="preserve">Delta T
</t>
  </si>
  <si>
    <t>Outlet temperature minus boiler return temperature</t>
  </si>
  <si>
    <t>In practice, the reduced flow temperature will also lead to longer heating up times. How much longer depends on the radiator sizes and other characteristics of the house and heating system. If heating up time is significantly longer, because of the reduced radiator output, then the average temperature is also lower and heat loss is reduced, yielding additional energy savings. Some homes may not reach the desired temperature at all on very cold days. This also means a reduction in thermal comfort but if it is acceptable to the household, then the effect is similar to reducing the thermostsat setting. The Salford tests and the Energy Systems Catapult modelling (see below) reported overall gas savings - including the temperature effect - but the evidence for quantifying the effect is still weak because  it depends on initial radiator oversizing and other unknowns. We estimate savings in two ways: a) based on efficiency savings alone and b) taking account of the reduced temperature.</t>
  </si>
  <si>
    <t xml:space="preserve">We only consider gas boilers, although condensing oil combi boilers are also available. This is for two reasons. Firstly, the number of oil boilers is much smaller: only 3% of homes have oil heating,  compared to 84% with gas boilers (EHSenergy). Secondly, the potential efficiency gains are lower. This is because there is less water vapour in the flue gases from an oil boiler and so less energy lost when the vapour is not condensed. According to SAP 10.2, a condensing oil combi boiler installed post-1998 has efficiency of  84%, compared to 80% non-condensing. For the gas boiler equivalent figures are 84% and 74% . </t>
  </si>
  <si>
    <t>Heat Geek reference chart</t>
  </si>
  <si>
    <t>Cibse reference chart</t>
  </si>
  <si>
    <t>We compare estimates of the efficiency gains from several sources.  In all cases flow temperature of 75°C e assumed to start with. The values for CIBSE and HeatGeekEff are taken from a chart which uses return temperature. The Heating and Hotwater Industry Council (HHIC) uses the MWT as the defining parameter. For CIBSE, values are given at different levels of load on the boiler, and here 50% load is used. The data from Salford is from tests on the Salford test house and is not yet published.</t>
  </si>
  <si>
    <r>
      <rPr>
        <rFont val="Calibri"/>
        <color rgb="FFFF0000"/>
        <sz val="12.0"/>
      </rPr>
      <t xml:space="preserve">Nesta carried out a Randomised Control Trial of 61,000 Loop customers from January to April 2023, with two interventions related to boiler flow temperatures, and using smart-meter data to record savings. There were three groups of households: 1. Treatment 1-One email recommending setting boiler flow to 60C, with a link to boiler optimisation tool; 2. Treatment 2-Three emails recommending setting boiler flow to 60C (launch), then 55C (start March), then 50C (start April), all with links to optimisation tool. The Trial found a statistically significant reduction in gas use from Treatment 2 (3 emails), but it was a small effect (0.21kWh/day, or 0.4% of daily gas use; p=0.09). There was no significant reduction from Treatment 1. However, Loop customers had already received advice about reducing flow temp, so it is likely that some of the Intervention and Control groups had already done this. Both of these would reduce the effect size.
For daily electricity consumption, there was </t>
    </r>
    <r>
      <rPr>
        <rFont val="Calibri"/>
        <color rgb="FFFF0000"/>
        <sz val="12.0"/>
        <u/>
      </rPr>
      <t>no statistically significant difference</t>
    </r>
    <r>
      <rPr>
        <rFont val="Calibri"/>
        <color rgb="FFFF0000"/>
        <sz val="12.0"/>
      </rPr>
      <t xml:space="preserve"> compared to the Control group (T1: p = 0.771; T2: p = 0.121). This is evidence against ESC modelling suggesting that reducing flow temperature increases electricity use - but again, this may be affected by prior changes to flow temperature by both Intervention and Control groups. The RCT found no significant change in reported thermal comfort.</t>
    </r>
  </si>
  <si>
    <r>
      <rPr>
        <rFont val="Calibri"/>
        <color rgb="FFFF0000"/>
        <sz val="12.0"/>
      </rPr>
      <t xml:space="preserve">Modelling work for Nesta by the Energy Systems Catapult [ESC] indicated that although lower flow temperatures reduced gas consumption, there were concommittant </t>
    </r>
    <r>
      <rPr>
        <rFont val="Calibri"/>
        <i/>
        <color rgb="FFFF0000"/>
        <sz val="12.0"/>
      </rPr>
      <t>increases</t>
    </r>
    <r>
      <rPr>
        <rFont val="Calibri"/>
        <color rgb="FFFF0000"/>
        <sz val="12.0"/>
      </rPr>
      <t xml:space="preserve"> in electricity use - possibly due to longer running periods for the boiler pump, which may increase electricity use. However, ESC did not quantify the increase in electricity use or analyse in any detail.</t>
    </r>
  </si>
  <si>
    <t>Boiler efficiency gains</t>
  </si>
  <si>
    <t>Reference</t>
  </si>
  <si>
    <t>HHIC</t>
  </si>
  <si>
    <t>HHIC with weather compensation</t>
  </si>
  <si>
    <t>CIBSE</t>
  </si>
  <si>
    <t>HeatGeekEff</t>
  </si>
  <si>
    <t xml:space="preserve">SalfordFlow
</t>
  </si>
  <si>
    <t>SAP10</t>
  </si>
  <si>
    <t>Reference details</t>
  </si>
  <si>
    <t>p41</t>
  </si>
  <si>
    <t>commercial condensing boilers</t>
  </si>
  <si>
    <t>winter</t>
  </si>
  <si>
    <t>summer</t>
  </si>
  <si>
    <t>hot water as a proportion of space heating</t>
  </si>
  <si>
    <t>mean space heating</t>
  </si>
  <si>
    <t>Flow</t>
  </si>
  <si>
    <t>Return</t>
  </si>
  <si>
    <t>Heat Geek</t>
  </si>
  <si>
    <t>Salford</t>
  </si>
  <si>
    <t>Flow/return/MWT</t>
  </si>
  <si>
    <t>80/60/70°C</t>
  </si>
  <si>
    <t>75/55/65°C (interpolated where necessary)</t>
  </si>
  <si>
    <t>60/45/53°C (interpolated where necessary)</t>
  </si>
  <si>
    <t>57/43/50°C standard controls - intepolated based on ratio at MWT 70</t>
  </si>
  <si>
    <t>55/40/48°C (interpolated where necessary)</t>
  </si>
  <si>
    <t>Efficiency evidence summary</t>
  </si>
  <si>
    <t>The efficiency savings are the proportion by which the boiler efficiencies improve (excluding savings from lower achieve temperatures). This is calculated separately for each source, so that each estimate uses consistent assumptions.</t>
  </si>
  <si>
    <t>Claimed heating efficiency savings Flow at 75 to 60°C</t>
  </si>
  <si>
    <t>Claimed heating efficiency savings Flow at 75 to 55°C</t>
  </si>
  <si>
    <t>Discussion</t>
  </si>
  <si>
    <t>Heat Geek assumes lower efficiencies at high temperatures, and a steeper improvement than the other sources (see graph, right).</t>
  </si>
  <si>
    <t>At the low flow temperatures there is more agreement between sources.</t>
  </si>
  <si>
    <t xml:space="preserve">Gas savings - Salford </t>
  </si>
  <si>
    <t>Flow temp. (°C)</t>
  </si>
  <si>
    <t>Gas kWh</t>
  </si>
  <si>
    <t>Savings from 80°C</t>
  </si>
  <si>
    <t>Savings from 75°C</t>
  </si>
  <si>
    <t>Mean room temp.  (°C)</t>
  </si>
  <si>
    <t>Gas savings - Energy Systems Catapult modelling (based on data provided before publication)</t>
  </si>
  <si>
    <t>Percentage gas savings</t>
  </si>
  <si>
    <t>Archetype ID/Radiator flow temperature</t>
  </si>
  <si>
    <t>Winter from 80°C</t>
  </si>
  <si>
    <t>Spring from 80°C</t>
  </si>
  <si>
    <t>Winter from 70°C</t>
  </si>
  <si>
    <t>Spring from 70°C</t>
  </si>
  <si>
    <t>Winter from 75°C</t>
  </si>
  <si>
    <t>Spring from 75°C</t>
  </si>
  <si>
    <t>Annual average 
(2/3 winter)</t>
  </si>
  <si>
    <t>These figures are averaged from cases with no limit on setback temperature</t>
  </si>
  <si>
    <t>28/60</t>
  </si>
  <si>
    <t>5/60</t>
  </si>
  <si>
    <t>4/60</t>
  </si>
  <si>
    <t>12/60</t>
  </si>
  <si>
    <t>1/60</t>
  </si>
  <si>
    <t>Mean/60</t>
  </si>
  <si>
    <t>28/55</t>
  </si>
  <si>
    <t>5/55</t>
  </si>
  <si>
    <t>4/55</t>
  </si>
  <si>
    <t>12/55</t>
  </si>
  <si>
    <t>1/55</t>
  </si>
  <si>
    <t>Mean/55</t>
  </si>
  <si>
    <t>Our estimates</t>
  </si>
  <si>
    <t>Most likely</t>
  </si>
  <si>
    <t>Heating efficiency savings Flow at 75 to 60°C</t>
  </si>
  <si>
    <t>These are the average of the results from HHIC, CIBSE, HeatGeek and Salford for efficiency only.</t>
  </si>
  <si>
    <t>Heating efficiency savings Flow at 75 to 55°C</t>
  </si>
  <si>
    <t>Gas savings (comfort reduction) from reducing Flow from 75 to 60°C</t>
  </si>
  <si>
    <t>The 'Most likely' estimate is the Salford result as this is the only case based on physical tests. This is only one house. The ESC modelled results are somewhat higher.</t>
  </si>
  <si>
    <t>Gas savings (including comfort reduction) from reducing Flow from 75 to 55°C</t>
  </si>
  <si>
    <t>The 'Low' result is the average of the most likely and the efficiency-only estimate. High savings are 10% more than most likely.</t>
  </si>
  <si>
    <t>Space heating demand</t>
  </si>
  <si>
    <t>The savings calculated above are for space heating only. This section estimates total space heating demand for all homes and the average space heating demand for a single dwelling.</t>
  </si>
  <si>
    <r>
      <rPr>
        <rFont val="Calibri"/>
        <color theme="1"/>
        <sz val="12.0"/>
      </rPr>
      <t>The space heating demand for homes that can adopt this measure may be less than the average overall because this measure is primarily for combi boilers, and combi boilers are more often installed in smaller homes. (English Housing Survey suggests mean floor area for dwellings with combis is 85m</t>
    </r>
    <r>
      <rPr>
        <rFont val="Calibri"/>
        <color theme="1"/>
        <sz val="12.0"/>
        <vertAlign val="superscript"/>
      </rPr>
      <t>2</t>
    </r>
    <r>
      <rPr>
        <rFont val="Calibri"/>
        <color theme="1"/>
        <sz val="12.0"/>
      </rPr>
      <t>; system boilers 111m</t>
    </r>
    <r>
      <rPr>
        <rFont val="Calibri"/>
        <color theme="1"/>
        <sz val="12.0"/>
        <vertAlign val="superscript"/>
      </rPr>
      <t>2</t>
    </r>
    <r>
      <rPr>
        <rFont val="Calibri"/>
        <color theme="1"/>
        <sz val="12.0"/>
      </rPr>
      <t>.) We have not adjusted for this.</t>
    </r>
  </si>
  <si>
    <t>Natural gas for space heating per household</t>
  </si>
  <si>
    <t>Bill savings per household</t>
  </si>
  <si>
    <t>Most Likely</t>
  </si>
  <si>
    <t>Flow reduced 75 to 60°C (efficiency only)</t>
  </si>
  <si>
    <t>Flow reduced 75 to 55°C  (efficiency only)</t>
  </si>
  <si>
    <t>Flow reduced 75 to 60°C (efficiency and comfort reduction)</t>
  </si>
  <si>
    <t>Flow reduced 75 to 55°C  (efficiency and comfort reduction)</t>
  </si>
  <si>
    <t>Potential uptake</t>
  </si>
  <si>
    <t xml:space="preserve">Dwellings with gas combi boilers can adopt this measure if (a) the heating  currently has a flow temperature of 75°C, (b) the controls allow them to make the change, and (c) the radiators and other parts of the heating system are suitable for the dwelling to achieve its temperature set point. Some homes have microbore pipes which may present resistance to the higher flow rate needed (70% faster flow). Equally, some homes may have small radiators where the lower temperature is not sufficient to heat the home. </t>
  </si>
  <si>
    <t>According to the ONS, in July 2022, 11% of adults said they had already turned down the flow temperature on their boiler. This rose to 25% by March 2023 (95% confidence interval from 23% to 27%, and a central estimate of 25% reported in January 2023), according to the same ONS survey. (Later editions of the Public Opinions and Social Trends surveys did not include questions about energy efficiency measures already undertaken. It seems unlikely that the proportion changing settings on their boiler would change after March, as the heating season ended. There was another question in the ONSwellbeing 2023 survey on measures carried out "more than a month ago", but responses to this were very similar to the first question, suggesting possible double-counting by respondents.) Some of this potential uptake is already in place, and 25% prior adoption is reflected in the central figures below.</t>
  </si>
  <si>
    <r>
      <rPr>
        <rFont val="Calibri"/>
        <color rgb="FFFF0000"/>
        <sz val="12.0"/>
      </rPr>
      <t xml:space="preserve">Nesta's Boiler Campaign Evaluation [WalnutOct022] found that </t>
    </r>
    <r>
      <rPr>
        <rFont val="Calibri"/>
        <color rgb="FFFF0000"/>
        <sz val="12.0"/>
        <u/>
      </rPr>
      <t>before</t>
    </r>
    <r>
      <rPr>
        <rFont val="Calibri"/>
        <color rgb="FFFF0000"/>
        <sz val="12.0"/>
      </rPr>
      <t xml:space="preserve"> the Campaign 46% of households were aware they could turn down boiler flow temperature, and 40% of these had done so. 9% of those aware they could change flow temperature had lowered it and they changed back again. </t>
    </r>
    <r>
      <rPr>
        <rFont val="Calibri"/>
        <color rgb="FFFF0000"/>
        <sz val="12.0"/>
        <u/>
      </rPr>
      <t>After</t>
    </r>
    <r>
      <rPr>
        <rFont val="Calibri"/>
        <color rgb="FFFF0000"/>
        <sz val="12.0"/>
      </rPr>
      <t xml:space="preserve"> the Campaign, those aware they could lower boiler flow temperature rose to 66%, and 44% of these had done so [WalnutDec2022] (i.e. 18% had lowered flow temp before, rising to 29% afterwards). Only 6% of the post-Campaign respondents said they lowered the flow temp and then raised it again afterwards. It is not possible to say whether the 29% of households that lowered flow temperatures after the Campaign finished will continue this behaviour. There may be some attrition, but most boilers will keep the same settings unless the householder or a plumber intervenes. The Walnut figures are consistent with the more recent ONS 2023 figures, so we stick with those here. </t>
    </r>
  </si>
  <si>
    <t>According to BEIS [BEISDistrib], only 75% of homes have heating systems capable of maintaining the required temperature in peak cold weather at a flow temperature of 75°C. Many homes are underheating already. Also problems with radiators due to poor hydraulic balancing, air in the system, sludge or scaling can reduce the efficacy of radiators, though it is hard to guage how widespread they are. Figures from this source inform our estimate of the number of homes with suitable capacity. The BEIS report does not mention microbore pipework, so we allow for this separately.</t>
  </si>
  <si>
    <t>Proportion of homes with gas combi boilers</t>
  </si>
  <si>
    <t>Microbore pipework in 4-5 million homes</t>
  </si>
  <si>
    <t>p17</t>
  </si>
  <si>
    <t>Proportion of  boilers with microbore pipes</t>
  </si>
  <si>
    <t>Proportion of homes that have already turned down the flow temperature</t>
  </si>
  <si>
    <t>ONSWellbeing March 2023</t>
  </si>
  <si>
    <t>Sheet 6</t>
  </si>
  <si>
    <t>Proportion of homes with radiators where the radiators can provide comfort 
Data from [BEISDistrib] - see charts, right</t>
  </si>
  <si>
    <t>Mean winter - bottom of confidence interval (Figure 3)</t>
  </si>
  <si>
    <t>Mean winter (Figure 3)</t>
  </si>
  <si>
    <t>Mean winter - top of confidence interval (Figure 3)</t>
  </si>
  <si>
    <t>Proportion of homes that have flow at 75°C (or similar)</t>
  </si>
  <si>
    <t>ONSwellbeing2023/CAR expert opinion</t>
  </si>
  <si>
    <t>Proportion of homes with gas combi boilers that have suitable controls</t>
  </si>
  <si>
    <t>CAR expert opinion: at most the proportion of homes with combi boilers</t>
  </si>
  <si>
    <t>Proportion of homes with suitable radiators for 60°C</t>
  </si>
  <si>
    <t>See table above: 'Most Likely' is the typical winter day central estimate.</t>
  </si>
  <si>
    <t>Proportion of homes with suitable radiators for 55°C</t>
  </si>
  <si>
    <t>As above</t>
  </si>
  <si>
    <t>Proportion of homes with microbore pipes inadequate for 60°C</t>
  </si>
  <si>
    <t>Proportion of homes with microbore pipes inadequate for 55°C</t>
  </si>
  <si>
    <t>Proportion of homes that have suitable pipework for 60°C</t>
  </si>
  <si>
    <t>Proportion of homes that have suitable pipework for 55°C</t>
  </si>
  <si>
    <t>Overall proportion of homes suitable for flow at 60°C</t>
  </si>
  <si>
    <t>Note that 2022 version of this spreadsheet did not exclude homes that had already reduced flow temps (which was then estimated at 10%, now increased to 25%), see B82</t>
  </si>
  <si>
    <t>Overall proportion of homes suitable for flow at 55°C</t>
  </si>
  <si>
    <t>Total GWh gas saved 75 to 60  GWh/year</t>
  </si>
  <si>
    <t>GWh/year</t>
  </si>
  <si>
    <t>Total GWh gas saved 75 to 55  GWh/year</t>
  </si>
  <si>
    <t>Reducing radiator temperatures (set and forget)</t>
  </si>
  <si>
    <t>… to Flow 55°C (same indoor temp)</t>
  </si>
  <si>
    <t>comfort reduction</t>
  </si>
  <si>
    <t>Turn off the 'pre-heat' facility on a combi boiler</t>
  </si>
  <si>
    <t>This measure could apply to all combi boilers with a pre-heat facility.</t>
  </si>
  <si>
    <t>Some combi boilers have a 'pre-heat' facility which means they keep the heat exchanger constantly warm. This means that hot water can be provided from the boiler more quickly. (There is still a wait for water that has cooled in the pipework to pass through.)</t>
  </si>
  <si>
    <t xml:space="preserve">The heat exchanger cools down over time, and the combi boiler has to turn on to heat it up again. However, depending on the location of the boiler, during the heating season the heat loss contributes to useful internal gains. </t>
  </si>
  <si>
    <t>Chart below from Bennett</t>
  </si>
  <si>
    <t>In some models of boiler the pre-heat facility can be on a timer, in which case it is only on for part of the day, rather than all the time.</t>
  </si>
  <si>
    <t>SAP 10.2 models a pre-heat facility (which SAP calls 'keep-hot') as using 300 kWh/year or more, unless it is timed. If it is timed, then there may be no extra energy use, depending on the volume of flow. These figures are used in the absence of test results from actual boilers. The pre-heat can be provided by electricity instead of firing up the boiler - or a mixture of the two.</t>
  </si>
  <si>
    <t>Analysis of field data on boilers (Bennett) suggests that in practice, pre-heat facilities sometimes use less than 50 kWh/year (see chart, right) with a mean of 340 kWh/year. There is no mention of measuring electricity use for pre-heat, so it is possible that this was not included. However, the storage heat loss depends on the insulation around the store, and small values are not unreasonable.</t>
  </si>
  <si>
    <t>The Heating Hub (HHBCombi) recommends that when combi boilers do not have a pre-heat facility, a CombiSave device should be used. This restricts flow of hot water flow until it is warmed up, saving both energy and hot water. This is fitted to the hot water outlet from the boiler.</t>
  </si>
  <si>
    <t>Our modelling approach begins with comparing reports of energy use for the pre-heat function. We assume that a timed pre-heat uses a fraction of the same energy, based on the number of hours of the day it is on. The calculated energy savings take into account that some of the heat lost from the pre-heat store is useful heat gains, so additional space heating will be used to replace it when pre-heat is turned off. Most boilers are more efficient providing space heating than hot water.</t>
  </si>
  <si>
    <t>Savings for oil combi boilers are excluded from modelling. There are very few of them (less than 1% of homes) and where they do have pre-heat capability it is implemeted in a different way, so the modelling data used here for gas would not apply.</t>
  </si>
  <si>
    <t>Energy use of  pre-heat facility (without a timer)</t>
  </si>
  <si>
    <t>kWh/year (heat)</t>
  </si>
  <si>
    <t>Bennett</t>
  </si>
  <si>
    <t>Based on the data in the chart above</t>
  </si>
  <si>
    <t>Energy use from timed preheat, as a proportion of turning it off - high proportion means low savings. High proportion would be 16 hours on, medium 12 hours on, Low would be 8 hours on.</t>
  </si>
  <si>
    <t>CAR expert opinion - based on the proportion of the day when it is left on</t>
  </si>
  <si>
    <t>Combi boiler efficiency when turning on for preheat (High efficiency leads to low losses and vice versa)</t>
  </si>
  <si>
    <t>CAR expert opinion (consistent with SAP)</t>
  </si>
  <si>
    <t>Gas use for the pre-heat (untimed)</t>
  </si>
  <si>
    <t>kWh/year (gas)</t>
  </si>
  <si>
    <t>Gas use for the pre-heat (timed)</t>
  </si>
  <si>
    <t>Proportion of preheat losses useful for heat gains</t>
  </si>
  <si>
    <t>Combi boiler effiency for space heating</t>
  </si>
  <si>
    <t>Gas savings from preheat losses used as space heating (untimed)</t>
  </si>
  <si>
    <t>Gas savings from preheat losses used as space heating (timed)</t>
  </si>
  <si>
    <t>Net loss from pre-heat (untimed)</t>
  </si>
  <si>
    <t>Net loss from pre-heat (timed)</t>
  </si>
  <si>
    <t>Household savings £</t>
  </si>
  <si>
    <t>Turning off preheat completely</t>
  </si>
  <si>
    <t>Changing to a timed preheat</t>
  </si>
  <si>
    <t>Proportion of homes with a gas combi boiler</t>
  </si>
  <si>
    <t>Proportion of combi boilers with preheat</t>
  </si>
  <si>
    <t>CAR expert opinion - we have very limited information on the market share of combi boilers with a preheat facility</t>
  </si>
  <si>
    <t>Proportion of combi boilers with preheat that can be set to a timer</t>
  </si>
  <si>
    <t>Proportion of all housesholds that could turn preheat off</t>
  </si>
  <si>
    <t>Proportion of all households that could control preheat with a timer</t>
  </si>
  <si>
    <t>Adjust timer for pre-heat</t>
  </si>
  <si>
    <t>Turn down the thermostat on your hot water cylinder</t>
  </si>
  <si>
    <t>This measure applies to homes with a hot water cylinder that do not need all the heat stored.</t>
  </si>
  <si>
    <t>Dwellings with a hot water cylinder should be thermostatically controlled and on a timer, so that water is not heated unnecessarily.</t>
  </si>
  <si>
    <t>It is usual to heat it to at least 60°C to kill any bacteria such as those that cause Legionnaires disease.  However this does not have to be done every day - once a week would be sufficient, if the controls allow. Such controls are common with heat pumps but not with conventional boilers. Lower temperatures avoid the risk of scalding with water from the taps. Alternatively this can be mitigated using a thermostatic mixer valve on the outlet from the cylinder, or taps/shower head.</t>
  </si>
  <si>
    <t xml:space="preserve">The higher the cylinder temperature, the more heat is stored - which means you can run more baths and showers. If you have solar panels, allowing the panels to heat to a high temperature may allow you to make more use of renewable solar energy. However, higher temperatures also increase heat loss from the cylinder. If you do not have a mixer valve it also increases losses from the pipes distributing water to taps around the dwelling. </t>
  </si>
  <si>
    <t>In hard-water areas, high cylinder temperature can exacerbate scaling up, which makes the heat exchanger less efficient.</t>
  </si>
  <si>
    <t>Changing the hot water cylinder temperature will not affect the boiler efficiency.</t>
  </si>
  <si>
    <t>The modelling approach here is to use the CHM to gather statistics on heat loss from distribution and storage of hot water, and then to adjust these values according to the change in temperature. Energy savings are calculated for different heating systems because they vary in the efficency of energy use to replace these losses. We also take into account the fact that in most cases the cylinder is inside the heated envelope of the house so some of the heat loss is  useful gains (in winter). Savings on heating the cylinder are partly offset by  additional space heating. Most boilers are more efficient providing space heating than hot water, so two different efficiencies are used.</t>
  </si>
  <si>
    <t>We have estimated household savings from a lower temperature too, with a weekly sterilisation cycle. However, this is not taken forward to the summary as it not possible  with standard controls. It is possible that even higher savings could be achieved if the controls allowed lower boiler flow temperatures to the cylinder too.</t>
  </si>
  <si>
    <t>This action is not applicable to combi boilers as they do not have a hot water cylinder (except sometimes a small keep-hot facility). We have used the term 'system boiler' for all non-combi boilers. Technically this only refers to boilers where the hot water system is sealed. However, the principles are exactly the same for regular boilers, which are not sealed and have a header tank for pressure.</t>
  </si>
  <si>
    <t xml:space="preserve">Homes with electric heating usually have a hot water cylinder with an immersion heater controlled by a thermostat. If there is no thermostat there is a risk of overheating your cylinder. If the home is on an Economy 7 tariff (or similar) then there should be a timer to ensure the cylinder is heated at cheap rate.  However, there is not always a timer. Adjusting the thermostat means taking the protective cap off and using a screwdriver to adjust the setting. This is simple enough if you are confident with DIY  (see https://www.diydata.com/problem/immersion/immersion_adjustment.php). </t>
  </si>
  <si>
    <t>Standard Operation</t>
  </si>
  <si>
    <t>Weekly Legionella cycle</t>
  </si>
  <si>
    <t>Notes</t>
  </si>
  <si>
    <t>Initial cylinder temperature</t>
  </si>
  <si>
    <t>°C</t>
  </si>
  <si>
    <t>Final cylinder temperature</t>
  </si>
  <si>
    <t>This is an average of 50°C most days and 60°C once a week. However, controls do not usually have this flexibility.</t>
  </si>
  <si>
    <t>Mean room temperature</t>
  </si>
  <si>
    <t>Distribution and storage losses (system boilers)</t>
  </si>
  <si>
    <t>CHM modelling - gas and oil boilers are similar</t>
  </si>
  <si>
    <t>CHM calculations reference temperature</t>
  </si>
  <si>
    <t>Initial losses</t>
  </si>
  <si>
    <t>Assume losses are directly proportional the temperature difference between the cylinder and the room.</t>
  </si>
  <si>
    <t>Reduced DHW temp losses</t>
  </si>
  <si>
    <t>Savings</t>
  </si>
  <si>
    <t>Gas boiler efficiency for hot water - high efficiency means low savings</t>
  </si>
  <si>
    <t>SAP10.2</t>
  </si>
  <si>
    <t>Summer efficiency for system boilers</t>
  </si>
  <si>
    <t>Gas boiler efficiency for space heating</t>
  </si>
  <si>
    <t>Winter efficiency for system boilers</t>
  </si>
  <si>
    <t>Proportion of losses that are useful gains</t>
  </si>
  <si>
    <t>Same as combi keep hot</t>
  </si>
  <si>
    <t>Gas saved from water heating</t>
  </si>
  <si>
    <t>Additional gas use for space heating</t>
  </si>
  <si>
    <t>Net gas savings</t>
  </si>
  <si>
    <t>Oil boiler efficiency (water heating)</t>
  </si>
  <si>
    <t>Oil boiler efficiency (space heating)</t>
  </si>
  <si>
    <t>Oil saved from water heating</t>
  </si>
  <si>
    <t>Additional oil use for space heating</t>
  </si>
  <si>
    <t>Net oil savings</t>
  </si>
  <si>
    <t>Proportion of gas boilers that are system boilers</t>
  </si>
  <si>
    <t>Add uncertainy bands to account for scaling from England to the UK</t>
  </si>
  <si>
    <t>Proportion of oil boilers that are system boilers</t>
  </si>
  <si>
    <t>Proportion of households with a system boiler who can turn down the cylinder temperature without running out of hot water</t>
  </si>
  <si>
    <t>Proportion of all UK households (gas)</t>
  </si>
  <si>
    <t>Proportion of all UK households (oil)</t>
  </si>
  <si>
    <t>Reduce the cylinder temperature to 50°C with a weekly Legionella cycle</t>
  </si>
  <si>
    <t>Reduce the hot water temperature setting on your combi boiler</t>
  </si>
  <si>
    <t>This measure applies to homes with a combi boiler</t>
  </si>
  <si>
    <t>If you have a combi boiler you can control the temperature at which it supplies hot water to your taps and showers.</t>
  </si>
  <si>
    <t>Reducing the temperature at which hot water is supplied can make energy savings because it takes less fuel to heat the water. SAP10.2 assumes that hot water for taps is supplied at 52°C and showers at 41°C.</t>
  </si>
  <si>
    <t>However, when we use a shower or fill a bath, householders mix in sufficient water to get a comfortable temperature. If we reduce the temperature for hot water householders simply add less cold and the same amount of heat overall is used.</t>
  </si>
  <si>
    <t>The distribution loss is the heat lost from pipes that deliver water to taps, when no water is flowing. SAP assumes this is 15% of the supplied water. However, we model this as half that because in the heating season those losses are useful gains, which will have to be replaced by space heating.</t>
  </si>
  <si>
    <t>Water use calculations from SAP Appendix J</t>
  </si>
  <si>
    <t>Hot water temp (initial)</t>
  </si>
  <si>
    <t>SAP assumes the hot water supply is at 52°C and showers are supplied at 41°C</t>
  </si>
  <si>
    <t>Hot water temp (final)</t>
  </si>
  <si>
    <t>Cold water temp</t>
  </si>
  <si>
    <t>SAP calculates this monthly. This is an average.</t>
  </si>
  <si>
    <t>Number of people</t>
  </si>
  <si>
    <t>Hot water consumption excluding showers and baths including distribution loss</t>
  </si>
  <si>
    <t>litres/day</t>
  </si>
  <si>
    <t>This calculation is from SAP. The distribution loss is 15% but we have halved that to allow for sone of the heat loss being useful gains that will have to be replaced by space heating.</t>
  </si>
  <si>
    <t>Energy content (initial)</t>
  </si>
  <si>
    <t>Energy content (final)</t>
  </si>
  <si>
    <t>Other assumptions</t>
  </si>
  <si>
    <t>Gas water heating efficiency</t>
  </si>
  <si>
    <t>High efficiency reduces savings</t>
  </si>
  <si>
    <t>Oil water heating effiiciency</t>
  </si>
  <si>
    <t>Reduce DHW temperature</t>
  </si>
  <si>
    <t>Proportion of homes with an oil combi boiler</t>
  </si>
  <si>
    <t>This measure could apply to most homes with wet heating systems.</t>
  </si>
  <si>
    <t xml:space="preserve">When a radiator is obstructed by furniture it is less effective at transferring heat into the room. Radiators transfer heat by a combination of radiation and convection. The obstruction restricts convection, because this relies on free  air flow. This means a higher proportion of the transfer is by convection. Radiant transfer is also intercepted by the obstruction, which warms as a result. This heat is ultimately transferred into the room but it takes longer to get there. </t>
  </si>
  <si>
    <t>The obstructed radiators give lower thermal comfort too, because there is less radiant heat falling on the occupants.</t>
  </si>
  <si>
    <t xml:space="preserve">We adapted the CODE model to examine the effects of adding obstacles in front of a radiator. We introduced radiator obstructions by reducing the capacity of the radiator and by increasing the radiative component in step. Initially, radiators transfer 30% by radiation and 70% by convection. The capacity reduction is taken from the convection only, so when capacity is reduced by 20% we increase the radiatiant fraction from 30% to 37.5%. </t>
  </si>
  <si>
    <t>When an obstacle is removed, the radiator becomes more efficient and heats the room more quickly. This uses more energy rather than less. Also, the radiant heat absorbed by an obstruction it continues to heat the room when the heating is off. This uses more energy and when the obstruction is removed the effect reverses, giving savings. For small obstacles, the stored radiant heat has the greater effect and gas consumption increases, but the effect is small. With  significant obstacles, the increased capacity wins out and heating energy demand increases.</t>
  </si>
  <si>
    <t>There are two other potential effects from the clearing obstructions from the radiators. These are indirect and require additional behaviours. It is possible that the household has turned up the thermostat in an attempt to offset the problem with heating. If this is the case, they could turn down the thermostat a little, which will save energy. In addition, it is possible that improvement in radiator efficiency could enable turning down the flow temperature, with improvement in boiler efficiency. We have not included these effects in the modelling here.</t>
  </si>
  <si>
    <t>Overall, our modelling indicates that there are no significant heat savings from removing obstructions from radiators and if anything heating demand is likely to increase.</t>
  </si>
  <si>
    <t>Modelling with 12 CODE archetypes</t>
  </si>
  <si>
    <t>Savings (%)</t>
  </si>
  <si>
    <t>Reduction in capacity</t>
  </si>
  <si>
    <t>median</t>
  </si>
  <si>
    <t>lower quartile</t>
  </si>
  <si>
    <t>upper quartile</t>
  </si>
  <si>
    <t>weighted mean</t>
  </si>
  <si>
    <t>For this case we excluded one archetype where the effect of the obstruction was so great it did not heat the house effectively.</t>
  </si>
  <si>
    <t>Impact of furniture on radiator heating capacity</t>
  </si>
  <si>
    <t>According to CIBSE a radiator in a cabinet with a grill at the front has 30% less heating emissions. This is our medium case - perhaps equivalent to a radiator half blocked by armchairs. The high case could be a radiator largely obstructed by a sofa and the low case, a radiator with a table in front.</t>
  </si>
  <si>
    <t>CAR expert opinion as described, left</t>
  </si>
  <si>
    <t>Proportion of radiators impacted per house</t>
  </si>
  <si>
    <t>Overall impact on radiator capacity in affected homes</t>
  </si>
  <si>
    <t>Impact of furniture on gas use in affected homes, for gas heated homes - from the modelling above</t>
  </si>
  <si>
    <t>This measure could apply to all homes who do not already close curtains at night.</t>
  </si>
  <si>
    <r>
      <rPr>
        <rFont val="Calibri"/>
        <color theme="1"/>
        <sz val="12.0"/>
      </rPr>
      <t>SAP 10.2 assumes that all windows have curtains and curtains are closed for half the time. They assume curtains have an effective resistance of 0.04 m</t>
    </r>
    <r>
      <rPr>
        <rFont val="Calibri"/>
        <color theme="1"/>
        <sz val="12.0"/>
        <vertAlign val="superscript"/>
      </rPr>
      <t>2</t>
    </r>
    <r>
      <rPr>
        <rFont val="Calibri"/>
        <color theme="1"/>
        <sz val="12.0"/>
      </rPr>
      <t>K/W (based on. 0.08 m</t>
    </r>
    <r>
      <rPr>
        <rFont val="Calibri"/>
        <color theme="1"/>
        <sz val="12.0"/>
        <vertAlign val="superscript"/>
      </rPr>
      <t>2</t>
    </r>
    <r>
      <rPr>
        <rFont val="Calibri"/>
        <color theme="1"/>
        <sz val="12.0"/>
      </rPr>
      <t>K/W for half the time, i.e. 12/24 hours).</t>
    </r>
  </si>
  <si>
    <t>We have used the Cambridge Housing Model, which is based on SAP and has the same curtain resistance factor, to test the annual saving by area and type of window.</t>
  </si>
  <si>
    <t>In practice, the savings vary considerably depending on the curtain and other factors. Savings are greatest for a single-glazed  window above a radiator and the curtains are tucked behind it (up to 30%). Savings are lower for double-glazed windows, or where there is no radiator, or where the curtain is not well fitted into the reveal so that air can move freely around it. [Salford]</t>
  </si>
  <si>
    <t>Our approach starts with using the CHM to estimate the annual energy savings by area of window, single or double and by fuel type. The CHM was run with and without the closed curtains assumption. Differences by fuel are mainly to do with efficiency. We then scale up to a household using the average area of windows and the average proportion of single and double glazing.</t>
  </si>
  <si>
    <t>Closing curtains at night improves thermal comfort because it increases the radiative temperature in the room, by hiding the cold glass surface, and it also reduces draughts in the vicinity of the window</t>
  </si>
  <si>
    <t>In this table and chart, low and high levels are the 25% and 75% quantiles for savings across the stock.</t>
  </si>
  <si>
    <t>Savings (modelled in the CHM) by window area</t>
  </si>
  <si>
    <t>Gas low</t>
  </si>
  <si>
    <t>Gas Mean</t>
  </si>
  <si>
    <t>Gas high</t>
  </si>
  <si>
    <t>Oil low</t>
  </si>
  <si>
    <t>Oil Mean</t>
  </si>
  <si>
    <t>Oil high</t>
  </si>
  <si>
    <t>Elec low</t>
  </si>
  <si>
    <t>Elec Mean</t>
  </si>
  <si>
    <t>Elec high</t>
  </si>
  <si>
    <t>Closing curtains on single glazed windows</t>
  </si>
  <si>
    <r>
      <rPr>
        <rFont val="Calibri"/>
        <color theme="1"/>
      </rPr>
      <t>kWh/m</t>
    </r>
    <r>
      <rPr>
        <rFont val="Calibri"/>
        <color theme="1"/>
        <sz val="12.0"/>
        <vertAlign val="superscript"/>
      </rPr>
      <t>2</t>
    </r>
    <r>
      <rPr>
        <rFont val="Calibri"/>
        <color theme="1"/>
        <sz val="12.0"/>
      </rPr>
      <t>/year</t>
    </r>
  </si>
  <si>
    <t>Closing curtains on double glazed windows</t>
  </si>
  <si>
    <r>
      <rPr>
        <rFont val="Calibri"/>
        <color theme="1"/>
      </rPr>
      <t>kWh/m</t>
    </r>
    <r>
      <rPr>
        <rFont val="Calibri"/>
        <color theme="1"/>
        <sz val="12.0"/>
        <vertAlign val="superscript"/>
      </rPr>
      <t>2</t>
    </r>
    <r>
      <rPr>
        <rFont val="Calibri"/>
        <color theme="1"/>
        <sz val="12.0"/>
      </rPr>
      <t>/year</t>
    </r>
  </si>
  <si>
    <t>Dwelling factors by fuel (data from the CHM)</t>
  </si>
  <si>
    <t>Typical area of windows (m2)</t>
  </si>
  <si>
    <t>m2</t>
  </si>
  <si>
    <t>Proportion of windows that are single glazed</t>
  </si>
  <si>
    <t>Proportion of windows where curtains are not closed</t>
  </si>
  <si>
    <t>Proportion of windows where curtains are currently left open, in homes which do not already close curtains for all windows.</t>
  </si>
  <si>
    <t>Typical household bill savings , based on the typical area of windows</t>
  </si>
  <si>
    <t>Proportion of UK homes</t>
  </si>
  <si>
    <t>single glazing</t>
  </si>
  <si>
    <t>double glazing</t>
  </si>
  <si>
    <t>Total kWh</t>
  </si>
  <si>
    <t>Total £/year</t>
  </si>
  <si>
    <t>Proportion of homes where some windows do not have closed curtains at night</t>
  </si>
  <si>
    <t>According to [ONSwellbeing], 51% of adults said they closed all the curtains at night to keep the heat in, but this is not precise.</t>
  </si>
  <si>
    <t>The CHM model assumed a curtain resistance of 0.04, based on a resistance of 0.08 half the time. Here we calculate the corrsponding savings to compare with the literature below.</t>
  </si>
  <si>
    <t>Curtains - thermal resistance</t>
  </si>
  <si>
    <t>Impact on double glazing</t>
  </si>
  <si>
    <t>U-value</t>
  </si>
  <si>
    <t>Resistance</t>
  </si>
  <si>
    <t>Add curtains</t>
  </si>
  <si>
    <t>Resulting U-value</t>
  </si>
  <si>
    <t>Heat savings</t>
  </si>
  <si>
    <t>Double glazing U-value</t>
  </si>
  <si>
    <t>Single glazing U-value</t>
  </si>
  <si>
    <t>Secondary glazing</t>
  </si>
  <si>
    <t>Literature review</t>
  </si>
  <si>
    <t>Historic England</t>
  </si>
  <si>
    <t>Heavy curtains mounted outside the reveal</t>
  </si>
  <si>
    <t>R-value</t>
  </si>
  <si>
    <t>Resistance of covering</t>
  </si>
  <si>
    <t>%age savings</t>
  </si>
  <si>
    <t>Table 1  black window</t>
  </si>
  <si>
    <t>Single glazing</t>
  </si>
  <si>
    <t>+ curtains</t>
  </si>
  <si>
    <t>Table 2</t>
  </si>
  <si>
    <t>+ honeycomb blind in reveal</t>
  </si>
  <si>
    <t>+ honeycomb blind outside reveal</t>
  </si>
  <si>
    <t>Salford test on sash windows with single glazing</t>
  </si>
  <si>
    <t>Lined curtains</t>
  </si>
  <si>
    <t>Initial U-value</t>
  </si>
  <si>
    <t>Final U-value</t>
  </si>
  <si>
    <t>Living room</t>
  </si>
  <si>
    <t>Curtain tucked behind radiator</t>
  </si>
  <si>
    <t>Kitchen</t>
  </si>
  <si>
    <t>Roller blind, bottom on window (no rad)</t>
  </si>
  <si>
    <t>Bedroom 1</t>
  </si>
  <si>
    <t>Lined curtain drapes below sill</t>
  </si>
  <si>
    <t>Bedroom 2</t>
  </si>
  <si>
    <t>Bathroom</t>
  </si>
  <si>
    <t>Roller blind bottom on windowsill (above rad)</t>
  </si>
  <si>
    <t>Treating windows with film</t>
  </si>
  <si>
    <t>This measure could apply to almost all homes.</t>
  </si>
  <si>
    <t>Window film is a form of temporary secondary glazing. It has two effects: reducing draughts and reducing conductive heat loss through the glass. Research suggests savings of 25% on heat loss through the centre of the pane. However, there are very few studies on this.</t>
  </si>
  <si>
    <r>
      <rPr>
        <rFont val="Calibri"/>
        <color theme="1"/>
        <sz val="12.0"/>
      </rPr>
      <t>The impact of draught fixing is minor, averaged over the stock. However, the effect of reducing heat loss through windows is considerable, because windows lose a lot of heat: up to 10 times as much per m</t>
    </r>
    <r>
      <rPr>
        <rFont val="Calibri"/>
        <color theme="1"/>
        <sz val="12.0"/>
        <vertAlign val="superscript"/>
      </rPr>
      <t>2</t>
    </r>
    <r>
      <rPr>
        <rFont val="Calibri"/>
        <color theme="1"/>
        <sz val="12.0"/>
      </rPr>
      <t xml:space="preserve"> as walls.</t>
    </r>
  </si>
  <si>
    <t xml:space="preserve">For the conductive heat losses we used the figure of 25% reduction in conductive heat loss, based on the study of StormGuard secondary glazing film by R Fitton (2014). (Note that other brands are available, and these likely have similar performance.) Savings can be higher, in the case of windows that were draughty, or lower because of poor installation. </t>
  </si>
  <si>
    <r>
      <rPr>
        <rFont val="Calibri"/>
        <color theme="1"/>
        <sz val="12.0"/>
      </rPr>
      <t>The modelling approach starts by using the CHM to model savings per unit area of window. We reduced draughts through doors and windows by half and we added thermal resistance to each of 0.07 m</t>
    </r>
    <r>
      <rPr>
        <rFont val="Calibri"/>
        <color theme="1"/>
        <sz val="12.0"/>
        <vertAlign val="superscript"/>
      </rPr>
      <t>2</t>
    </r>
    <r>
      <rPr>
        <rFont val="Calibri"/>
        <color theme="1"/>
        <sz val="12.0"/>
      </rPr>
      <t>K/W - equivalent to a 25% reduction in heat flow for a single-glazed window with timber frames. The savings vary considerably depending on the type of window- much more for single glazing than double glazing - so we keep these calculations separate. This is then scaled to household level assuming a typical area of window of each type. Electrically heated homes tend to be smaller and have fewer windows, oil heated homes are larger with more windows, and a higher proportion of single-glazed windows.</t>
    </r>
  </si>
  <si>
    <t>In this table (and the chart), low and high levels are the 25% and 75% quantiles for savings across the stock.</t>
  </si>
  <si>
    <t>Film on single-glazed windows</t>
  </si>
  <si>
    <r>
      <rPr>
        <rFont val="Calibri"/>
        <color theme="1"/>
      </rPr>
      <t>kWh/m</t>
    </r>
    <r>
      <rPr>
        <rFont val="Calibri"/>
        <color theme="1"/>
        <sz val="12.0"/>
        <vertAlign val="superscript"/>
      </rPr>
      <t>2</t>
    </r>
    <r>
      <rPr>
        <rFont val="Calibri"/>
        <color theme="1"/>
        <sz val="12.0"/>
      </rPr>
      <t>/year</t>
    </r>
  </si>
  <si>
    <t>Film on double-glazed windows</t>
  </si>
  <si>
    <r>
      <rPr>
        <rFont val="Calibri"/>
        <color theme="1"/>
      </rPr>
      <t>kWh/m</t>
    </r>
    <r>
      <rPr>
        <rFont val="Calibri"/>
        <color theme="1"/>
        <sz val="12.0"/>
        <vertAlign val="superscript"/>
      </rPr>
      <t>2</t>
    </r>
    <r>
      <rPr>
        <rFont val="Calibri"/>
        <color theme="1"/>
        <sz val="12.0"/>
      </rPr>
      <t>/year</t>
    </r>
  </si>
  <si>
    <r>
      <rPr>
        <rFont val="Calibri"/>
        <color theme="1"/>
        <sz val="12.0"/>
      </rPr>
      <t>m</t>
    </r>
    <r>
      <rPr>
        <rFont val="Calibri"/>
        <color theme="1"/>
        <sz val="12.0"/>
        <vertAlign val="superscript"/>
      </rPr>
      <t>2</t>
    </r>
  </si>
  <si>
    <t>Modifying household factors</t>
  </si>
  <si>
    <t>Factor for savings per unit area - depending on installation quality and initial draughtiness of windows</t>
  </si>
  <si>
    <t>Typical household bill savings, based on the typical area of windows</t>
  </si>
  <si>
    <t>Double glazing</t>
  </si>
  <si>
    <t>ONSwellbeing 2023 found that 13% of adults had carried out some form of draught-proofing of windows or doors in March 2023 (what type of daught-proofing and how many doors or windows, was not specified). However, window film is only one way of carrying out draught-proofing, and it may not be the most common. For these reasons we cannot incorporate the ONS findings in potential uptake here.</t>
  </si>
  <si>
    <t>Potential Uptake</t>
  </si>
  <si>
    <t>In some cases there is not enough space between the window and the frame surface to install window film.</t>
  </si>
  <si>
    <t>Number of participating households</t>
  </si>
  <si>
    <t>Number of homes</t>
  </si>
  <si>
    <t>low</t>
  </si>
  <si>
    <t>Add window film to all single glazed windows</t>
  </si>
  <si>
    <t>Installing or topping up loft insulation</t>
  </si>
  <si>
    <t>This measure could apply to almost all homes that have a pitched roof not converted to an attic.</t>
  </si>
  <si>
    <t>Most homes have some loft insulation already but there are around 265,000 that do not. There are diminishing returns to adding more top-up insulation, but it is still worth doing in many cases. The shape and size of the dwelling matters: this is more important for homes with a large area of roof.</t>
  </si>
  <si>
    <t>Adding loft insulation improves thermal comfort in the rooms below the roof. It can help keep rooms cool in summer as well as retaining  heat in winter. It can also alleviate problems with cold spots and mould on ceilings.</t>
  </si>
  <si>
    <t>Loft insulation is hard to add in homes where there is a room in roof or a flat roof. We only consider pitched roofs without a room in roof. Also, where homes have upper rooms with sloping ceilings that are part of the roof, it may not  be possible to insulate these areas without blocking ventilation to roof timbers. Ignoring this can lead to condensation and mould.</t>
  </si>
  <si>
    <t>The modelling approach starts with using the CHM to model savings from adding to the existing loft insulation, per unit area of roof. We  modelled the savings starting with six different levels of insulation and topping up to 300mm. The benefits are very large if you start with none, but they dimininish rapidly. The savings for oil-heated homes are very similar to gas homes with the same level of insulation. For electrically heated homes, the differences are a little greater, mainly due to different heating efficiency. We also used data from the CHM to determine the proportion of the stock with different levels of insulation. These proportions vary little with different fuel types.</t>
  </si>
  <si>
    <t>National statistics on energy savings from (top-up) loft insulation (NEED) report a mean 3% saving for loft insulation (approx. £30/year), with a median of 4%.  This is a little less than our estimate for a top-up from 100-150mm to 300mm. However, savings can be much higher for homes starting with less insulation.</t>
  </si>
  <si>
    <t>The number of homes in the table below reflects the number of homes in the CHM dataset, which represent homes in England only. This is scaled to UK in Rows 45 to 52. We modelled only homes with a pitched roof and no room in roof, and homes with inaccessible lofts were excluded.</t>
  </si>
  <si>
    <t>CHM Modelling results, savings/roof area  (kWh/m2)</t>
  </si>
  <si>
    <t>Electric</t>
  </si>
  <si>
    <t>Mean roof area</t>
  </si>
  <si>
    <t>Bill savings %age</t>
  </si>
  <si>
    <t>None to 300mm</t>
  </si>
  <si>
    <t>0- 50, to 300mm</t>
  </si>
  <si>
    <t>50-100 to 300mm</t>
  </si>
  <si>
    <t>100-150 to 300mm</t>
  </si>
  <si>
    <t>150-200 to 300mm</t>
  </si>
  <si>
    <t>200-250 to 300mm</t>
  </si>
  <si>
    <t>More than 300mm</t>
  </si>
  <si>
    <t>Electrically heated homes tend to be smaller and oil heated homes larger. For calculating household savings we use a typical roof size, which is different for each fuel - based on the data in the CHM.</t>
  </si>
  <si>
    <t>Roof area</t>
  </si>
  <si>
    <t>Householder savings from upgrading loft insulation kWh/year</t>
  </si>
  <si>
    <t>UK proportion of homes</t>
  </si>
  <si>
    <t>UK Total proportion of homes</t>
  </si>
  <si>
    <t>Normalised</t>
  </si>
  <si>
    <t>None</t>
  </si>
  <si>
    <t>1 to 50mm</t>
  </si>
  <si>
    <t>51-100mm</t>
  </si>
  <si>
    <t>101-150mm</t>
  </si>
  <si>
    <t>151-200mm</t>
  </si>
  <si>
    <t>201-250mm</t>
  </si>
  <si>
    <t>251-350mm</t>
  </si>
  <si>
    <t>Homes with inaccessible lofts</t>
  </si>
  <si>
    <t>Proportion of homes that can upgrade loft insulation</t>
  </si>
  <si>
    <t>high</t>
  </si>
  <si>
    <t>medium</t>
  </si>
  <si>
    <t>Fitting foil behind radiators on external walls</t>
  </si>
  <si>
    <t>This measure could apply to almost all homes with wet heating systems.</t>
  </si>
  <si>
    <t>When a radiator on an external wall heats up it heats up the wall as well as the room. The wall becomes warmer than adjacent sections and there is higher heat loss. This is often seen in infrared images of homes, especially those with uninsulated solid walls. The heat loss can be reduced by installing a thin reflective panel into the spacel behind the radiator. This can even by a piece of cardboard covered with ordinary kitchen foil. The foil helps to reflect the heat back into the room rather than heating up the wall.</t>
  </si>
  <si>
    <t>There is very limited evidence however. A report evaluating a product called Radflek (for radiator reflector) shows heat loss through the wall reduced by nearly half. There are errors in calculations in the report, but we were able to use the raw data and avoid the errors.</t>
  </si>
  <si>
    <t>Heat transfer to the wall at that distance will be mainly from radiation rather than convection and determined by the temperature of the radiator. Thus we can expect similar savings for different types of radiator, depending only on the surface temperature. There are bigger savings from walls with higher conductive losses.</t>
  </si>
  <si>
    <t>Our approach for modelling this is first to use the test results to estimate heat savings by area of radiator against the wall. This is different depending oon the type of wall. Then we use this to estimate the fraction of space heating lost (depending on the proportion  of radiators against external walls, and the heat output of the radiator relative to the heat losses).</t>
  </si>
  <si>
    <t>This measure only applies to wet heating systems, so homes using gas or oil for heating.</t>
  </si>
  <si>
    <t>Radflek test results</t>
  </si>
  <si>
    <t>The tests were conducted on two walls, one with U-value 1.1 W/m2K. and a second one with U-value 2.1. The tests measured temperature at the surface of the radiator and the inner and outer surfaces of the wall as as well as the cold box surrounding the test setup.</t>
  </si>
  <si>
    <t>We have plotted the results from the analysis (left) in the chart below.</t>
  </si>
  <si>
    <t>Then used interpolation from the chart to estimate savings from different types of wall.</t>
  </si>
  <si>
    <t>Test measurements - from Radflek</t>
  </si>
  <si>
    <t>wall1</t>
  </si>
  <si>
    <t>wall2</t>
  </si>
  <si>
    <t>W/m2K</t>
  </si>
  <si>
    <t>No sheet</t>
  </si>
  <si>
    <t>with sheet</t>
  </si>
  <si>
    <t>rad temp</t>
  </si>
  <si>
    <t>K</t>
  </si>
  <si>
    <t>inner wall</t>
  </si>
  <si>
    <t>outer wall</t>
  </si>
  <si>
    <t>cold box</t>
  </si>
  <si>
    <t>Heat flow analysis</t>
  </si>
  <si>
    <t>Temp diff across wall</t>
  </si>
  <si>
    <t>U-value adjusted for surface resistance</t>
  </si>
  <si>
    <t>Heat flow</t>
  </si>
  <si>
    <t>W/m2</t>
  </si>
  <si>
    <t>Heat saving from the sheet</t>
  </si>
  <si>
    <t>Effective U-value between the radiator and the wall - this assumes that heat transfer is linear depending on the radiator surface temperature and the outside temperature</t>
  </si>
  <si>
    <t>Savings (W/m2)</t>
  </si>
  <si>
    <t>Adustment for mean winter conditions</t>
  </si>
  <si>
    <t>Tdiff for 50-rad to 5-ext</t>
  </si>
  <si>
    <t>Adjustment for higher radiator temperature 60C</t>
  </si>
  <si>
    <t>Tdiff for 60-rad to 5-ext</t>
  </si>
  <si>
    <t>Based on the data on external wall U-values in the CHM (see chart) we have chosen three typical U-values and classified the dwellings into three groups according to which they are closest to.</t>
  </si>
  <si>
    <t>The savings for these U-values have been calculated by interpolating from the results above.</t>
  </si>
  <si>
    <t>Modern cavity walls - low U-values up to 0.5</t>
  </si>
  <si>
    <t>Retrofit filled cavity - 0.5 to 1.0</t>
  </si>
  <si>
    <t>Solid or  unfilled cavity - 1.5 to 2.5</t>
  </si>
  <si>
    <t>Savings as a proportion of household bill - depends on radiator type</t>
  </si>
  <si>
    <t>Radiator output W/m2</t>
  </si>
  <si>
    <t>Type of wall</t>
  </si>
  <si>
    <t>As-built insulated cavity walls</t>
  </si>
  <si>
    <t>%age of space heating</t>
  </si>
  <si>
    <t>Retrofit filled cavity</t>
  </si>
  <si>
    <t>Solid or  unfilled cavity</t>
  </si>
  <si>
    <t>Other household factors</t>
  </si>
  <si>
    <t>Proportion of radiators on external walls</t>
  </si>
  <si>
    <t>CAR expert opinion - radiators are often positioned below windows in which case they are always on external walls</t>
  </si>
  <si>
    <t>Proportion of radiators with inaccessible spaces</t>
  </si>
  <si>
    <t>CAR expert opinion - rads may be enclosed or awkwards positioned below projecting windows sills</t>
  </si>
  <si>
    <t>Uncertainy in savings from sheet</t>
  </si>
  <si>
    <t xml:space="preserve">CAR expert opinion </t>
  </si>
  <si>
    <t>All household factors</t>
  </si>
  <si>
    <t>Typical household savings from installing foil sheet (kWh/year)</t>
  </si>
  <si>
    <t>Modern cavity wall</t>
  </si>
  <si>
    <t>retrofit filled cavity</t>
  </si>
  <si>
    <t>Solid or unfilled cavity</t>
  </si>
  <si>
    <t>Typical household savings from installing foil sheet (£/year)</t>
  </si>
  <si>
    <t>UK proportion of homes with…</t>
  </si>
  <si>
    <t>Low/high bands reflect uncertainty in scaling from England to the UK</t>
  </si>
  <si>
    <t>Install  a smart thermostat, one with load compensation, or weather-compensating controls.</t>
  </si>
  <si>
    <t>This measure could apply to all homes with modulating boilers that are compatible with OpenTherm</t>
  </si>
  <si>
    <t xml:space="preserve">Load compensation and weather compensation work with modulating boilers to adjust the power output according to either heating demand in rooms ('load compensation'), or the outdoor temperature ('weather compensation'). Lower power generally means a lower flow temperature, which also means a lower return temperature - so the boiler runs in condensing mode more of the time. However, the temperature difference between flow and return also reduces unless the boiler has an integrated circulation pump and lowers the speed as well. </t>
  </si>
  <si>
    <t>Load-compensating controllers adjust the power output according to the difference between the internal temperature and the target temperature. If the internal temperature is too low, the power is increased, and vice versa.</t>
  </si>
  <si>
    <t xml:space="preserve">Weather-compensating controllers adjust the power output according to the temperature outside. They use either  a physical sensor, or temperature information from sources on the internet . When it is cold the power output is increased and vice versa. The relationship is set by a curve which can be adjusted up or down, depending on the dwelling heat losses. Getting this right requires either careful calculation or experiment.  In University of Salford tests [SalfordTherm] -the weather compensating controls failed to heat rooms adequately until the heating system was optimised by balancing the radiators, range rating the boiler, and setting an appropriate pump speed. </t>
  </si>
  <si>
    <t>When they are set correctly, weather compensating controls  give a slower response than load-compensating controls. This makes them less suited to intermittent heating (but good for heat pumps).</t>
  </si>
  <si>
    <t>Intelligent thermostats such as NEST can automatically adjust heating schedules and set-point temperatures according to the requirements of the occupants. Most systems use presence sensors to do this.</t>
  </si>
  <si>
    <t xml:space="preserve">SAP reports higher savings from load-compensating controls in oil boilers compared to gas, but the opposite for weather compensation.  However, the product characteristics database lists only two modulating controllers for oil boilers - both Class VIII, which is a combination of load compensation with zone controls. Also  multiple sources report that most oil boilers cannot modulate, so very few installed systems would be able to benefit.  Further, few oil boilers support OpenTherm. Overall the potential uptake for modulating controls on oil boilers is not significant. </t>
  </si>
  <si>
    <t>Efficiency savings for different types of controls, summary of data from all sources</t>
  </si>
  <si>
    <t>Class IV
TPI</t>
  </si>
  <si>
    <t xml:space="preserve">Class V 
Load </t>
  </si>
  <si>
    <t xml:space="preserve">Class VI
Weather </t>
  </si>
  <si>
    <t>Smart
(NEST)</t>
  </si>
  <si>
    <t>Smart</t>
  </si>
  <si>
    <t>Reference key</t>
  </si>
  <si>
    <t>SAP 10.2</t>
  </si>
  <si>
    <t>These are the efficiency gains at 80/60 or 70/60 flow-return settings, so without reducing flow temperature</t>
  </si>
  <si>
    <t>Note Ofgem price caps do not specify difference between peak and non-peak rate</t>
  </si>
  <si>
    <t>Salford - initial</t>
  </si>
  <si>
    <t>SalfordTherm</t>
  </si>
  <si>
    <t>Weather compensating controls failed to achieve comfort heating in the initial phase.</t>
  </si>
  <si>
    <t>Salford - after tuning</t>
  </si>
  <si>
    <t>BRE: Ecodesign regulations</t>
  </si>
  <si>
    <t>BRE-controls</t>
  </si>
  <si>
    <t>These are the efficiency improvemets relative to Class I</t>
  </si>
  <si>
    <t>Behavioural Insights Team</t>
  </si>
  <si>
    <t>6.5% +/- 5%</t>
  </si>
  <si>
    <t>4.5% +/- 1.2%</t>
  </si>
  <si>
    <t>NEST</t>
  </si>
  <si>
    <t>Efficiency savings (gas and oil)</t>
  </si>
  <si>
    <t>Smart thermostat</t>
  </si>
  <si>
    <t>CAR Expert opinion based on NEST study</t>
  </si>
  <si>
    <t>Load compensation</t>
  </si>
  <si>
    <t>CAR Expert opinion based on the range of different results</t>
  </si>
  <si>
    <t>Weather compensation</t>
  </si>
  <si>
    <t>ONSwellbeing 2023 found that 8% of adults had installed "a thermostat which connects your heating system to the internet so you can control your heating from your phone or other device" in March 2023. It said nothing about weather compensation, and this is not equivalent to a smart thermostat with load or weather compensation, so we cannot incorporate the ONS findings in potential uptake here.</t>
  </si>
  <si>
    <t>Proportion of boilers with modulation capability</t>
  </si>
  <si>
    <t>CAR expert opinion based on the list of Opentherm compatible boilers [Opentherm]</t>
  </si>
  <si>
    <t>Proportion of homes that already have smart thermostats with load or weather compensation</t>
  </si>
  <si>
    <t>Proportion of homes with boilers that can install smart thermostats</t>
  </si>
  <si>
    <t>Total proportion of homes</t>
  </si>
  <si>
    <t>Install TRVs on radiators</t>
  </si>
  <si>
    <t>This measure could be applied to a) homes without TRVs, or b) homes with TRVs that are not fully utilised</t>
  </si>
  <si>
    <t>Thermostatic Radiator Valves (TRVs) are now common in UK homes, but they are often left open - set to maximum temperature - and unused. This measure addresses the twin problems of a) TRVs not being installed in some homes and b) even when TRVs are installed on all radiators, they are commonly left at maximum settings. To achieve savings, TRVs should be adjusted according to household needs, with lower temperatures in bedrooms and other non-living areas. TRVs are modelled here as two separate measures - from no TRVs to with TRVs, and from TRVs on all radiators to correctly adjusted TRVs.</t>
  </si>
  <si>
    <t>In SAP10, living areas are heated to 21°C and other areas are cooler, depending on the heat loss parameter and heating controls, and commonly 18 to 20°C. Low heat loss means a smaller difference betend to increase the difference. EFUS reports very similar average temperatures in the living room and bedrooms (0.5°C difference to main bedroom and 0.8°C difference to a third bedroom). This suggests that there is room for savings, although some households - such as those with a health problem - need warmer bedrooms.</t>
  </si>
  <si>
    <t xml:space="preserve">Merely fitting TRVs makes no savings: it is the adjustment that matters, and precisely how TRVs are set up is ambiguous in SAP. This makes it difficult to generalise across the stock and there is very little field data. </t>
  </si>
  <si>
    <t>We used two approaches to estimate savings. The first was based on modelling homes with and without TRVs using the CHM. We compared total gas use for homes that did have TRVs with the same homes without TRVs. Taken as a proportion of the bill, there was very little difference between gas boiler cases and oil boiler cases, so we used the same values for both.</t>
  </si>
  <si>
    <t>The second approach used a study at the Salford Energy House (Timmins) which measured gas heating requirements at a range of external temperatures. It was not possible to achieve 18°C in the bedrooms because the heating could not modulate low enough, so the regime used was 24°C and 21°C.  At a lower temperature the savings would be a little higher, because part of the heating energy is used for hot water, and this would not be affected by TRVs.</t>
  </si>
  <si>
    <t>Reported results</t>
  </si>
  <si>
    <t>Fuel</t>
  </si>
  <si>
    <t>Mean</t>
  </si>
  <si>
    <t>Timmins - space heating only</t>
  </si>
  <si>
    <t>This is based on tests at a range of external temperatures in a test house under controlled conditions, thermostat 24C and TRVs 21C.</t>
  </si>
  <si>
    <t>Timmins  - adjusted for the whole bill (reflecting DHW heating)</t>
  </si>
  <si>
    <t>Installing TRVs and adjusting them. High savings assume 3°C lower bedrooms, bathrooms, kitchen and halls, as in Timmins.</t>
  </si>
  <si>
    <t>Since the Timmins study was set for a 3°C difference and under 'lab conditions', e.g. with internal doors closed, we use this as the maximum saving. The low estimate reflects savings modelled in the CHM.</t>
  </si>
  <si>
    <t>Adjusting TRVs that are already installed and partially adjusted, 1.5°C lower non-living rooms.</t>
  </si>
  <si>
    <t>Assuming 'partial adjustment' achieves 1.5°C, and the new adjustment achieves another 1.5°C lower temperature in non-living rooms.</t>
  </si>
  <si>
    <t>Installing TRVs  (1.5°C cooler for Zone 2 outside the living room)</t>
  </si>
  <si>
    <t>Readjusting TRVs (1.5°C cooler for Zone 2 outside the living room)</t>
  </si>
  <si>
    <r>
      <rPr>
        <rFont val="Calibri"/>
        <color theme="1"/>
        <sz val="12.0"/>
      </rPr>
      <t xml:space="preserve">ONSwellbeing 2023 found that 43% of adults had turned down radiator TRVs in the past month in March 2023. However, this is not comparable to turning down TRVs in all non-living rooms by 1.5 or 3°C. The ONS Survey did not record whether they had also turned </t>
    </r>
    <r>
      <rPr>
        <rFont val="Calibri"/>
        <color theme="1"/>
        <sz val="12.0"/>
        <u/>
      </rPr>
      <t>up</t>
    </r>
    <r>
      <rPr>
        <rFont val="Calibri"/>
        <color theme="1"/>
        <sz val="12.0"/>
      </rPr>
      <t xml:space="preserve"> TRVs in the past month - there could have been no change overall. It also seems unlikely that 43% of households would turn down TRVs every month without accompanying turn-up adjustments. For these reasons we cannot incorporate the ONS findings in potential uptake here.</t>
    </r>
  </si>
  <si>
    <t>Proportion of those homes with TRVs</t>
  </si>
  <si>
    <t>all</t>
  </si>
  <si>
    <t>For England from the CHM - with uncertainty bands</t>
  </si>
  <si>
    <t>Proportion of homes without TRVs</t>
  </si>
  <si>
    <t>If these homes do not currently set TRVs to achieve cooler non-living rooms</t>
  </si>
  <si>
    <t>Proportion of homes with TRVs</t>
  </si>
  <si>
    <t>General assumptions</t>
  </si>
  <si>
    <t>GHG emissions</t>
  </si>
  <si>
    <t>kWh per tonne of oil equivalent (toe)</t>
  </si>
  <si>
    <t>kWh/toe</t>
  </si>
  <si>
    <t>kWh per ktoe</t>
  </si>
  <si>
    <t>Gas GHG emissions (gross)</t>
  </si>
  <si>
    <t>kg CO2e/kwh</t>
  </si>
  <si>
    <t>GHGConv</t>
  </si>
  <si>
    <t>t CO2e/GWh</t>
  </si>
  <si>
    <t>Electricity GHG emission</t>
  </si>
  <si>
    <t>Oil GHG emissions (gross)</t>
  </si>
  <si>
    <t>Energy prices</t>
  </si>
  <si>
    <t>Price of gas</t>
  </si>
  <si>
    <t>p/kWh</t>
  </si>
  <si>
    <t>Price of electricity (standard)</t>
  </si>
  <si>
    <t>Price of electricity (dual rate bill)</t>
  </si>
  <si>
    <t>Price of oil</t>
  </si>
  <si>
    <t>p/litre</t>
  </si>
  <si>
    <t>BoilerJuice</t>
  </si>
  <si>
    <t>Demographics</t>
  </si>
  <si>
    <t>Population of the UK (2020)</t>
  </si>
  <si>
    <t>ONSPop</t>
  </si>
  <si>
    <t>Population of England</t>
  </si>
  <si>
    <t>Number of dwellings in the UK</t>
  </si>
  <si>
    <t>[calculated]</t>
  </si>
  <si>
    <t>Population of Scotland</t>
  </si>
  <si>
    <t>Population of Wales</t>
  </si>
  <si>
    <t>Population of N, Ireland</t>
  </si>
  <si>
    <t>Gas heating</t>
  </si>
  <si>
    <t>Total domestic sector gas use (UK)</t>
  </si>
  <si>
    <t>ktoe</t>
  </si>
  <si>
    <t>ECUK</t>
  </si>
  <si>
    <t>Table 3</t>
  </si>
  <si>
    <t>Total gas for domestic space heating (UK)</t>
  </si>
  <si>
    <t>Number of homes with gas heating</t>
  </si>
  <si>
    <t>Proportion of homes with gas heating</t>
  </si>
  <si>
    <t>Natural gas bill per household</t>
  </si>
  <si>
    <t>cf 12,930 from the CHM (England only), OFGEM now uses 11,500 as a typical consumption value (reduced from 12,000 in 2022).</t>
  </si>
  <si>
    <t>Proportion of gas bill for space heating</t>
  </si>
  <si>
    <t>Proportion of gas boilers that are regular boilers</t>
  </si>
  <si>
    <t>EHSEnergy</t>
  </si>
  <si>
    <t>Oil heating</t>
  </si>
  <si>
    <t>Total domestic sector oil use (UK)</t>
  </si>
  <si>
    <t>Total oil for domestic space heating (UK)</t>
  </si>
  <si>
    <t>Number of homes with oil heating</t>
  </si>
  <si>
    <t>Proportion of homes with oil heating</t>
  </si>
  <si>
    <t>Oil heating bill per household</t>
  </si>
  <si>
    <t>cf 21000 from the CHM, England only</t>
  </si>
  <si>
    <t>Proportion of oil bill for space heating</t>
  </si>
  <si>
    <t>cf gas - this is the same.</t>
  </si>
  <si>
    <t>Proportion of oil boilers that are regular boilers</t>
  </si>
  <si>
    <t>Electric heating</t>
  </si>
  <si>
    <t>Total domestic  electricity for space heating</t>
  </si>
  <si>
    <t>Total domestic  electricity for water heating</t>
  </si>
  <si>
    <t>Total domestic electricity for heating (UK)</t>
  </si>
  <si>
    <t>Proportion of electricty usage for heating that is in homes with ekectricity as the main heating (rather than electricity for supplementary heating)</t>
  </si>
  <si>
    <t>Estimated from modelling the CHM - which is for England only. Storage heater homes use slightly more: 6980 compared to 6630 for other electric heating</t>
  </si>
  <si>
    <t>Domestic electriciy for heating where electricity is the main fuel</t>
  </si>
  <si>
    <t>Number of homes with storage heaters</t>
  </si>
  <si>
    <t>Number of homes with other electric heating</t>
  </si>
  <si>
    <t>Proportion of homes with storage heaters</t>
  </si>
  <si>
    <t>Proportion of homes with other electric heaters</t>
  </si>
  <si>
    <t>Electric heating bill per household</t>
  </si>
  <si>
    <t>cf 6,890 from the CHM</t>
  </si>
  <si>
    <t>Storage heater homes use slightly more: 6,980 kWh compared to 6,630 for other electric heating</t>
  </si>
  <si>
    <t>Domestic electricity for heating: storage heaters</t>
  </si>
  <si>
    <t>Domestic electricity for heating: other electric heaters</t>
  </si>
  <si>
    <t>By country assumptions - all numbers of dwellings</t>
  </si>
  <si>
    <t>England</t>
  </si>
  <si>
    <t>Population</t>
  </si>
  <si>
    <t>Dwellings</t>
  </si>
  <si>
    <t>EHSEnergy2020</t>
  </si>
  <si>
    <t>Mains gas heating</t>
  </si>
  <si>
    <t>This is for room heaters and the electric ceiling/underfloor heating systems.</t>
  </si>
  <si>
    <t>Note that this does not add up to 100%. It excludes communal heating systems and warm air systems.</t>
  </si>
  <si>
    <t xml:space="preserve">Scotland </t>
  </si>
  <si>
    <t>SHCS</t>
  </si>
  <si>
    <t>Wales</t>
  </si>
  <si>
    <t>StatsWales</t>
  </si>
  <si>
    <t>WHCS</t>
  </si>
  <si>
    <t>N. Ireland</t>
  </si>
  <si>
    <t>IHCS</t>
  </si>
  <si>
    <t>This is 2016 latest data</t>
  </si>
  <si>
    <t>All electric heating</t>
  </si>
  <si>
    <t>A little less than the 7% 'other'</t>
  </si>
  <si>
    <t>Assume same proportion of storage heaters as in England</t>
  </si>
  <si>
    <t>UK Totals</t>
  </si>
  <si>
    <t>Total Numbers of dwellings</t>
  </si>
  <si>
    <t>Total gas</t>
  </si>
  <si>
    <t>Total oil</t>
  </si>
  <si>
    <t>Total storage heaters</t>
  </si>
  <si>
    <t>Total other electric</t>
  </si>
  <si>
    <t>Calculating tariffs for Gas and electricitiy based on OFGEM price caps</t>
  </si>
  <si>
    <t>OFGEMCaps</t>
  </si>
  <si>
    <t>All figures are for the standard credit tariff</t>
  </si>
  <si>
    <t>The nominal kWh/year for gas and electricity used here are as specified in the cap level document. They are slightly higher than the Typical Domestic Consumption Values.</t>
  </si>
  <si>
    <t>Values used on other sheets</t>
  </si>
  <si>
    <t>Electricity (multi-register)</t>
  </si>
  <si>
    <t>OFGEM tariffs Oct 2023</t>
  </si>
  <si>
    <t>Electricity - standard  (3100 kWh/year)</t>
  </si>
  <si>
    <t>Electricity - multi-register rate (4200 kWh/year)</t>
  </si>
  <si>
    <t>Gas (12,000 kWh/year)</t>
  </si>
  <si>
    <t>Nil bill</t>
  </si>
  <si>
    <t>North West</t>
  </si>
  <si>
    <t>Northern</t>
  </si>
  <si>
    <t>Yorkshire</t>
  </si>
  <si>
    <t>Northern Scotland</t>
  </si>
  <si>
    <t>Southern</t>
  </si>
  <si>
    <t>Southern Scotland</t>
  </si>
  <si>
    <t>N Wales and Mersey</t>
  </si>
  <si>
    <t>London</t>
  </si>
  <si>
    <t>South East</t>
  </si>
  <si>
    <t>Eastern</t>
  </si>
  <si>
    <t>East Midlands</t>
  </si>
  <si>
    <t>Midlands</t>
  </si>
  <si>
    <t>Southern Western</t>
  </si>
  <si>
    <t>S Wales</t>
  </si>
  <si>
    <t>Average</t>
  </si>
  <si>
    <t>Government Price Guarantee, which applies from October 2022</t>
  </si>
  <si>
    <t>EnergyBillsSupport</t>
  </si>
  <si>
    <t>OFGEM tariffs Oct 2022</t>
  </si>
  <si>
    <t>OFGEM tariffs April 2022</t>
  </si>
  <si>
    <t>References</t>
  </si>
  <si>
    <t>Date</t>
  </si>
  <si>
    <t>Title</t>
  </si>
  <si>
    <t>Hyperlink (where available)</t>
  </si>
  <si>
    <t>2018 (?)</t>
  </si>
  <si>
    <t>The secret life of boilers: Dynamic performance of residential gas boilers
heating systems – a modelling and empirical study
by
George James Bennett
UCL Energy Institute
Bartlett School of Environment, Energy and Resources
Thesis submitted for the degree of Doctor of Philosophy in
Energy and the Built Environmen</t>
  </si>
  <si>
    <t>https://discovery.ucl.ac.uk/id/eprint/10065409/1/GJB_Thesis_postViva_v2_submission.pdf</t>
  </si>
  <si>
    <t>BEISDistrib</t>
  </si>
  <si>
    <t>Domestic Heat Distribution Systems Evidence Gathering</t>
  </si>
  <si>
    <t>https://www.gov.uk/government/publications/heat-storage-and-distribution-systems-hds</t>
  </si>
  <si>
    <t>UK Average Home Heating Oil Prices</t>
  </si>
  <si>
    <t>https://www.boilerjuice.com/heating-oil-prices/</t>
  </si>
  <si>
    <t>BREStock</t>
  </si>
  <si>
    <t>The Housing Stock of the United Kingdom</t>
  </si>
  <si>
    <t>https://files.bregroup.com/bretrust/The-Housing-Stock-of-the-United-Kingdom_Report_BRE-Trust.pdf</t>
  </si>
  <si>
    <t>Evaluating the Nest Learning Thermostat</t>
  </si>
  <si>
    <t>https://www.bi.team/wp-content/uploads/2017/11/311013-Evaluating-Nest-BIT-Exec-Tech-Summaries.pdf</t>
  </si>
  <si>
    <t>Evidence Gathering - Compensation and TPI Heating Controls</t>
  </si>
  <si>
    <t>https://assets.publishing.service.gov.uk/government/uploads/system/uploads/attachment_data/file/648337/heating-controls-compensation-tpi-bre.pdf</t>
  </si>
  <si>
    <t>Module 149: Effective control for condensing gas boiler systems</t>
  </si>
  <si>
    <t>https://www.cibsejournal.com/cpd/modules/2019-07-gas/</t>
  </si>
  <si>
    <t>Energy consumption in the UK</t>
  </si>
  <si>
    <t>https://www.gov.uk/government/statistics/energy-consumption-in-the-uk-2021</t>
  </si>
  <si>
    <t>EHSenergy</t>
  </si>
  <si>
    <t>English housing survey</t>
  </si>
  <si>
    <t>https://assets.publishing.service.gov.uk/government/uploads/system/uploads/attachment_data/file/1055629/Energy_Report_2019-20.pdf</t>
  </si>
  <si>
    <t>English Housing Survey energy report</t>
  </si>
  <si>
    <t>https://www.gov.uk/government/statistics/english-housing-survey-2020-to-2021-energy</t>
  </si>
  <si>
    <t>Energy bills support factsheet: 8 September 2022</t>
  </si>
  <si>
    <t>https://www.gov.uk/government/publications/energy-bills-support/energy-bills-support-factsheet-8-september-2022</t>
  </si>
  <si>
    <t>ESC</t>
  </si>
  <si>
    <t>UK Government GHG Conversion Factors for Company Reporting</t>
  </si>
  <si>
    <t>https://www.gov.uk/government/collections/government-conversion-factors-for-company-reporting</t>
  </si>
  <si>
    <t>Benefits of low-temperature heating systems</t>
  </si>
  <si>
    <t>https://www.heatgeek.com/benefits-of-low-temprature-heating-systems/</t>
  </si>
  <si>
    <t>HHBCombi</t>
  </si>
  <si>
    <t>How to turn OFF the pre-heat on your Ideal combi boiler to save 5-10%</t>
  </si>
  <si>
    <t>https://www.theheatinghub.co.uk/articles/Ideal-hot-water-preheat</t>
  </si>
  <si>
    <t>2021 (?)</t>
  </si>
  <si>
    <t>Heating up to net zero</t>
  </si>
  <si>
    <t>https://www.hhic.org.uk/uploads/6165409B9D4C9.pdf</t>
  </si>
  <si>
    <t>HistoricEngland</t>
  </si>
  <si>
    <t>Improving the Thermal Performance of Traditional Windows: Metal-framed Windows</t>
  </si>
  <si>
    <t>https://historicengland.org.uk/research/results/reports/15-2017</t>
  </si>
  <si>
    <t>Northern Ireland House Condition Survey 2016</t>
  </si>
  <si>
    <t>https://www.nihe.gov.uk/Working-With-Us/Research/House-Condition-Survey</t>
  </si>
  <si>
    <t>Lomas-2018</t>
  </si>
  <si>
    <t xml:space="preserve">Do domestic heating controls save energy? A review of the evidence </t>
  </si>
  <si>
    <t xml:space="preserve">https://doi.org/10.1016/j.rser.2018.05.002 </t>
  </si>
  <si>
    <t>NEED</t>
  </si>
  <si>
    <t>National Energy Efficiency Data-Framework (NEED): Summary of Analysis, Great Britain, 2021</t>
  </si>
  <si>
    <t>https://assets.publishing.service.gov.uk/government/uploads/system/uploads/attachment_data/file/1008681/need-report-2021.pdf</t>
  </si>
  <si>
    <t>Default tariff cap level: 1 Oct 2023 to 31 December 2023</t>
  </si>
  <si>
    <t>https://www.ofgem.gov.uk/publications/energy-price-cap-default-tariff-1-october-31-december-2023</t>
  </si>
  <si>
    <t>ONSFamilies</t>
  </si>
  <si>
    <t>Families and households in the UK: 2020</t>
  </si>
  <si>
    <t>https://www.ons.gov.uk/peoplepopulationandcommunity/birthsdeathsandmarriages/families/bulletins/familiesandhouseholds/2020</t>
  </si>
  <si>
    <t>Estimates of the population for the UK, England and Wales, Scotland and Northern Ireland</t>
  </si>
  <si>
    <t>https://www.ons.gov.uk/peoplepopulationandcommunity/populationandmigration/populationestimates/datasets/populationestimatesforukenglandandwalesscotlandandnorthernireland</t>
  </si>
  <si>
    <t>ONSwellbeing</t>
  </si>
  <si>
    <t>Public opinions and social trends, Great Britain: 22 June to 3 July 2022</t>
  </si>
  <si>
    <t>https://www.ons.gov.uk/peoplepopulationandcommunity/wellbeing/bulletins/publicopinionsandsocialtrendsgreatbritain/22juneto3july2022</t>
  </si>
  <si>
    <t>Public opinions and social trends, Great Britain: household finances, 8 to 19 March 2023</t>
  </si>
  <si>
    <t>https://www.ons.gov.uk/releases/publicopinionsandsocialtrendsgreatbritain8to19March2023</t>
  </si>
  <si>
    <t>OpenTherm</t>
  </si>
  <si>
    <t>Opentherm boilers and controls</t>
  </si>
  <si>
    <t>https://myboiler.com/opentherm/opentherm-boilers-and-controls/</t>
  </si>
  <si>
    <t>Radflek</t>
  </si>
  <si>
    <t>Radflek - proposed CERT attributed savings - BRE</t>
  </si>
  <si>
    <t>https://www.radflek.com/_webedit/uploaded-files/All%20Files/Radflek_FinalReport.pdf</t>
  </si>
  <si>
    <t>Assessing the energy savings from advanced room thermostat controls in a whole house test facility</t>
  </si>
  <si>
    <t>https://www.beama.org.uk/resourceLibrary/salford-tests-on-load-and-weather-compensation-.html</t>
  </si>
  <si>
    <t>SalfordCurtains</t>
  </si>
  <si>
    <t>The thermal performance of window coverings in a whole house test facility with single-glazed sash windows</t>
  </si>
  <si>
    <t xml:space="preserve">http://dx.doi.org/10.1007/s12053-017-9529-0 </t>
  </si>
  <si>
    <t>SalfordFlow</t>
  </si>
  <si>
    <t>This data is not yet published</t>
  </si>
  <si>
    <t>The Government’s Standard Assessment Procedure for Energy Rating of Dwellings</t>
  </si>
  <si>
    <t>Council tax dwellings by local authorith</t>
  </si>
  <si>
    <t>https://statswales.gov.wales/Catalogue/Local-Government/Finance/Council-Tax/Dwellings/counciltaxdwellings-by-localauthority</t>
  </si>
  <si>
    <t>Veissman</t>
  </si>
  <si>
    <t>What temperature should a condensing boiler be set at?</t>
  </si>
  <si>
    <t>https://www.viessmann.co.uk/heating-advice/what-temperature-to-set-condensing-boiler</t>
  </si>
  <si>
    <t>WalnutOct2022</t>
  </si>
  <si>
    <t>Boiler Campaign 2022 Evaluation ('pre-campaign')</t>
  </si>
  <si>
    <t>[not published]</t>
  </si>
  <si>
    <t>WalnutDec2022</t>
  </si>
  <si>
    <t>Boiler Campaign 2022 Evaluation ('post-campaign')</t>
  </si>
  <si>
    <t>Welsh Housing Conditions Survey 2017-18: Energy Efficiency of Dwellings</t>
  </si>
  <si>
    <t>https://gov.wales/sites/default/files/statistics-and-research/2019-10/welsh-housing-conditions-survey-energy-efficiency-dwellings-april-2017-march-2018-795.pdf</t>
  </si>
  <si>
    <t>Notation</t>
  </si>
  <si>
    <t>Data sources are indicated, using a key for the References tab where appropriate.</t>
  </si>
  <si>
    <t>Modelling notes</t>
  </si>
  <si>
    <t>Some of these estimates rely on energy use models. We have used two such models:</t>
  </si>
  <si>
    <t>1. Cambridge Housing Model (CHM)</t>
  </si>
  <si>
    <t>2. CODE model</t>
  </si>
  <si>
    <t>Housing data</t>
  </si>
  <si>
    <t>Parameters derived from 12,300 homes in different regions of the UK from the Englush Housing Survey (2018/2019 data), weighted as in the EHS.</t>
  </si>
  <si>
    <t>12 archetypes of typical homes derived from English Housing Survey data, with weights derived from the EHS.</t>
  </si>
  <si>
    <t>Energy model</t>
  </si>
  <si>
    <t>Derived from SAP with some adjustments (in particular for thermostat settings) to make it representative of actual energy use. Static monthly calculations.</t>
  </si>
  <si>
    <t>Basd on EnergyPlus, a detailed, dynamic model of buildling physics. Energy use is modelled over a year in intervals of 10 minutes.</t>
  </si>
  <si>
    <t>Weather</t>
  </si>
  <si>
    <t>Weather is typical for each region.</t>
  </si>
  <si>
    <t>We used weather for a single location that represents 'average' UK weather (near Sheffield).</t>
  </si>
  <si>
    <t>Advantages</t>
  </si>
  <si>
    <t>Large stock dataset allows for good estimates of the range of outcomes.</t>
  </si>
  <si>
    <t>Can simulate aspects of building physics that are not represented in the CHM.</t>
  </si>
  <si>
    <t>Disadvantages</t>
  </si>
  <si>
    <t>Simple energy model with heuristics for the effects of  complex physics or timing/thermal mass effects.</t>
  </si>
  <si>
    <t>Small set of 12 representative archetypes.</t>
  </si>
  <si>
    <t>Changes</t>
  </si>
  <si>
    <t>v7</t>
  </si>
  <si>
    <t>Moved asumptions about gas bill to assumptions sheet from the closing curtains sheet</t>
  </si>
  <si>
    <t>Attempt at similar calculations for electric homes</t>
  </si>
  <si>
    <t>Added reducing heating hours</t>
  </si>
  <si>
    <t>Added  moving furniture</t>
  </si>
  <si>
    <t>Added windows treatments</t>
  </si>
  <si>
    <t>v8</t>
  </si>
  <si>
    <t>New sections combi keep hot</t>
  </si>
  <si>
    <t>Name fixes on the assumptions sheet - numberDwellingsUK is not the same as numberDwellings</t>
  </si>
  <si>
    <t>Formula fix in reducing radiator temp numberDwellings-&gt;numberDwellingsUK</t>
  </si>
  <si>
    <t>Fix on summary sheet for oil/reducing heating hours £</t>
  </si>
  <si>
    <t>v9</t>
  </si>
  <si>
    <t>New sections foil</t>
  </si>
  <si>
    <t>redone the curtains based on window area</t>
  </si>
  <si>
    <t>v10</t>
  </si>
  <si>
    <t>Tidying and checking</t>
  </si>
  <si>
    <t>v11</t>
  </si>
  <si>
    <t>v12</t>
  </si>
  <si>
    <t>Changed loft insulation to be all up to 300mm</t>
  </si>
  <si>
    <t>Also put more cases onto the summary sheet</t>
  </si>
  <si>
    <t>v14</t>
  </si>
  <si>
    <t>Bug fixes Added smart thermostats, load and weather compensation</t>
  </si>
  <si>
    <t>Added a line for each measure on what sort of homes can adopt it.</t>
  </si>
  <si>
    <t>Updated tariffs for from 1/10/2022</t>
  </si>
  <si>
    <t>v15</t>
  </si>
  <si>
    <t>New results from the Salford test house</t>
  </si>
  <si>
    <t>New format Summary</t>
  </si>
  <si>
    <t>Added packages on Summary</t>
  </si>
  <si>
    <t>Changed  factors for microbore pipework on reducing radiator temperature</t>
  </si>
  <si>
    <t>Allow for useful gains in calculation of lower DHW temperature for combi boilers</t>
  </si>
  <si>
    <t>v16</t>
  </si>
  <si>
    <t>New data on Welsh dwellings in Assumptions</t>
  </si>
  <si>
    <t>Adjustments to Northern Ireland dwellings and by heating type</t>
  </si>
  <si>
    <t>Added notes on heating types not covered in the assumptions</t>
  </si>
  <si>
    <t>Clarified target temperatures for DHW savings in combi boilers</t>
  </si>
  <si>
    <t>Added new data and notes on Salford study/higher internal temps</t>
  </si>
  <si>
    <t>Adjustment and correction to proportion of homes that can reduce flow temperatures</t>
  </si>
  <si>
    <t>Added a note on additional savings from reducing flow temperatures where thermal comfort decrease is acceptable</t>
  </si>
  <si>
    <t>Clarified assumptions and counterfactual for TRVs</t>
  </si>
  <si>
    <t>Added guidance on how to adjust the packages</t>
  </si>
  <si>
    <t>v16c</t>
  </si>
  <si>
    <t>Updated adoption parameters for Changed radiator temps</t>
  </si>
  <si>
    <t>Updated tariffs based on the price guarantee</t>
  </si>
  <si>
    <t>Updated the proportional savings on the loft insulation measures to be calculated directlly from the CHM instead of based on the overall typical bill</t>
  </si>
  <si>
    <t>v16f</t>
  </si>
  <si>
    <t>Added results from ESC to Reducing radiator temperatures</t>
  </si>
  <si>
    <t>Added gas savings for Reducing radiator temperatures to the final list</t>
  </si>
  <si>
    <t>Activities</t>
  </si>
  <si>
    <t>status</t>
  </si>
  <si>
    <t xml:space="preserve">Reducing radiator temp </t>
  </si>
  <si>
    <t>done</t>
  </si>
  <si>
    <t>Reducing DHW temperature</t>
  </si>
  <si>
    <t>draft</t>
  </si>
  <si>
    <t>Closing curtains</t>
  </si>
  <si>
    <t>Redone for per-window area. Poss add thermal curtains?</t>
  </si>
  <si>
    <t>reducing heating hours</t>
  </si>
  <si>
    <t>Turning off combi keep hot</t>
  </si>
  <si>
    <t>Window treatments</t>
  </si>
  <si>
    <t>By window area, then prop single/double</t>
  </si>
  <si>
    <t>Foil</t>
  </si>
  <si>
    <t>%age of space heaitng</t>
  </si>
  <si>
    <t>TRVs</t>
  </si>
  <si>
    <t>as reduced heating hours</t>
  </si>
  <si>
    <t>Smart thermostats</t>
  </si>
  <si>
    <t>Modulating thermostat/weather or load compensation</t>
  </si>
  <si>
    <t>DIY loft insulation</t>
  </si>
  <si>
    <t>v17</t>
  </si>
  <si>
    <t>Added notes on ONS data on reported changes to boiler flow temperature, draught-proofing, smart thermostats, and TRV settings</t>
  </si>
  <si>
    <t>Changed Potential Uptake calculations in 'Reducing radiator temp' to reflect latest ONS data on households that have already reduced flow temperatures</t>
  </si>
  <si>
    <t>Added notes on Walnut's 2022 evaluations of the Boiler Campaign</t>
  </si>
  <si>
    <t>Updated notes to reflect Ofgem's lower TDCVs 2023</t>
  </si>
  <si>
    <t>Updated tariffs to the OFGEM price cap from October 2023</t>
  </si>
  <si>
    <t>Bug fix</t>
  </si>
  <si>
    <t>version</t>
  </si>
  <si>
    <t>sheet</t>
  </si>
  <si>
    <t>row</t>
  </si>
  <si>
    <t>change</t>
  </si>
  <si>
    <t>Turn off Keephot</t>
  </si>
  <si>
    <t>Low savings are from low space heating efficiency: low and high were the wrong way round</t>
  </si>
  <si>
    <t>Low savings are from 16 hours keephot, high savings from only 8 hours keephot. This affects the text only.</t>
  </si>
  <si>
    <t>Reducing heating hours</t>
  </si>
  <si>
    <t>reformatted as a calculated row</t>
  </si>
  <si>
    <t>Reducing radiator temperature</t>
  </si>
  <si>
    <t>Fixed proportion of homes with gas boilers on Reducing DHW temperature</t>
  </si>
  <si>
    <t>Turn off per-heat</t>
  </si>
  <si>
    <t>change 'keep-hot' to 'pre-heat'. Also removed mentions of internal storage as that is not relevenat.</t>
  </si>
  <si>
    <t>Summary2</t>
  </si>
  <si>
    <t>Added this sheet, with an alternative summary format. Some other sheets changed to generate data for this sheet.</t>
  </si>
  <si>
    <t>Summary2 is now summary</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</si>
</sst>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quot;£&quot;#,##0"/>
    <numFmt numFmtId="165" formatCode="_-* #,##0_-;\-* #,##0_-;_-* &quot;-&quot;??_-;_-@"/>
    <numFmt numFmtId="166" formatCode="0.0%"/>
    <numFmt numFmtId="167" formatCode="_-* #,##0.00_-;\-* #,##0.00_-;_-* &quot;-&quot;??_-;_-@"/>
    <numFmt numFmtId="168" formatCode="#,##0.0"/>
    <numFmt numFmtId="169" formatCode="0.000%"/>
    <numFmt numFmtId="170" formatCode="0.0"/>
    <numFmt numFmtId="171" formatCode="0.000"/>
    <numFmt numFmtId="172" formatCode="#,##0.000"/>
    <numFmt numFmtId="173" formatCode="&quot;£&quot;#,##0.00"/>
    <numFmt numFmtId="174" formatCode="#,##0_ ;\-#,##0\ "/>
    <numFmt numFmtId="175" formatCode="_(* #,##0.00_);_(* \(#,##0.00\);_(* &quot;-&quot;??_);_(@_)"/>
    <numFmt numFmtId="176" formatCode="#,##0.0_);[Red]\(#,##0.0\)"/>
    <numFmt numFmtId="177" formatCode="&quot;£&quot;#,##0.00_);[Red]\(&quot;£&quot;#,##0.00\)"/>
  </numFmts>
  <fonts count="31">
    <font>
      <sz val="12.0"/>
      <color theme="1"/>
      <name val="Calibri"/>
      <scheme val="minor"/>
    </font>
    <font>
      <sz val="12.0"/>
      <color theme="1"/>
      <name val="Calibri"/>
    </font>
    <font>
      <sz val="10.0"/>
      <color theme="1"/>
      <name val="Calibri"/>
    </font>
    <font/>
    <font>
      <b/>
      <sz val="10.0"/>
      <color theme="1"/>
      <name val="Calibri"/>
    </font>
    <font>
      <sz val="8.0"/>
      <color theme="1"/>
      <name val="Calibri"/>
    </font>
    <font>
      <sz val="11.0"/>
      <color theme="1"/>
      <name val="Calibri"/>
    </font>
    <font>
      <sz val="9.0"/>
      <color theme="1"/>
      <name val="Calibri"/>
    </font>
    <font>
      <b/>
      <sz val="12.0"/>
      <color theme="1"/>
      <name val="Calibri"/>
    </font>
    <font>
      <b/>
      <sz val="10.0"/>
      <color theme="1"/>
      <name val="Arial"/>
    </font>
    <font>
      <sz val="10.0"/>
      <color theme="1"/>
      <name val="Arial"/>
    </font>
    <font>
      <sz val="12.0"/>
      <color rgb="FFD8D8D8"/>
      <name val="Calibri"/>
    </font>
    <font>
      <b/>
      <sz val="12.0"/>
      <color rgb="FF3F3F3F"/>
      <name val="Calibri"/>
    </font>
    <font>
      <i/>
      <sz val="12.0"/>
      <color theme="1"/>
      <name val="Calibri"/>
    </font>
    <font>
      <sz val="12.0"/>
      <color rgb="FF9CC2E5"/>
      <name val="Calibri"/>
    </font>
    <font>
      <color theme="1"/>
      <name val="Calibri"/>
      <scheme val="minor"/>
    </font>
    <font>
      <sz val="9.0"/>
      <color rgb="FF1F1F1F"/>
      <name val="&quot;Google Sans&quot;"/>
    </font>
    <font>
      <sz val="12.0"/>
      <color rgb="FFFF0000"/>
      <name val="Calibri"/>
    </font>
    <font>
      <sz val="12.0"/>
      <color rgb="FFBFBFBF"/>
      <name val="Calibri"/>
    </font>
    <font>
      <sz val="12.0"/>
      <color rgb="FFE7E6E6"/>
      <name val="Calibri"/>
    </font>
    <font>
      <sz val="12.0"/>
      <color rgb="FFA5A5A5"/>
      <name val="Calibri"/>
    </font>
    <font>
      <sz val="12.0"/>
      <color rgb="FF000000"/>
      <name val="Calibri"/>
    </font>
    <font>
      <b/>
      <sz val="12.0"/>
      <color rgb="FF000000"/>
      <name val="Calibri"/>
    </font>
    <font>
      <b/>
      <sz val="12.0"/>
      <color theme="4"/>
      <name val="Calibri"/>
    </font>
    <font>
      <sz val="12.0"/>
      <color theme="4"/>
      <name val="Calibri"/>
    </font>
    <font>
      <b/>
      <i/>
      <sz val="12.0"/>
      <color theme="4"/>
      <name val="Calibri"/>
    </font>
    <font>
      <sz val="12.0"/>
      <color theme="1"/>
      <name val="Times New Roman"/>
    </font>
    <font>
      <u/>
      <sz val="12.0"/>
      <color theme="10"/>
      <name val="Calibri"/>
    </font>
    <font>
      <u/>
      <color rgb="FF0000FF"/>
    </font>
    <font>
      <u/>
      <sz val="12.0"/>
      <color theme="10"/>
      <name val="Calibri"/>
    </font>
    <font>
      <u/>
      <sz val="12.0"/>
      <color theme="10"/>
      <name val="Calibri"/>
    </font>
  </fonts>
  <fills count="17">
    <fill>
      <patternFill patternType="none"/>
    </fill>
    <fill>
      <patternFill patternType="lightGray"/>
    </fill>
    <fill>
      <patternFill patternType="solid">
        <fgColor rgb="FFD8D8D8"/>
        <bgColor rgb="FFD8D8D8"/>
      </patternFill>
    </fill>
    <fill>
      <patternFill patternType="solid">
        <fgColor rgb="FFA8D08D"/>
        <bgColor rgb="FFA8D08D"/>
      </patternFill>
    </fill>
    <fill>
      <patternFill patternType="solid">
        <fgColor rgb="FFC5E0B3"/>
        <bgColor rgb="FFC5E0B3"/>
      </patternFill>
    </fill>
    <fill>
      <patternFill patternType="solid">
        <fgColor rgb="FFE2EFD9"/>
        <bgColor rgb="FFE2EFD9"/>
      </patternFill>
    </fill>
    <fill>
      <patternFill patternType="solid">
        <fgColor theme="0"/>
        <bgColor theme="0"/>
      </patternFill>
    </fill>
    <fill>
      <patternFill patternType="solid">
        <fgColor rgb="FFDEEAF6"/>
        <bgColor rgb="FFDEEAF6"/>
      </patternFill>
    </fill>
    <fill>
      <patternFill patternType="solid">
        <fgColor rgb="FFFF9900"/>
        <bgColor rgb="FFFF9900"/>
      </patternFill>
    </fill>
    <fill>
      <patternFill patternType="solid">
        <fgColor rgb="FFFFFFFF"/>
        <bgColor rgb="FFFFFFFF"/>
      </patternFill>
    </fill>
    <fill>
      <patternFill patternType="solid">
        <fgColor rgb="FFFEF2CB"/>
        <bgColor rgb="FFFEF2CB"/>
      </patternFill>
    </fill>
    <fill>
      <patternFill patternType="solid">
        <fgColor rgb="FFBFBFBF"/>
        <bgColor rgb="FFBFBFBF"/>
      </patternFill>
    </fill>
    <fill>
      <patternFill patternType="solid">
        <fgColor rgb="FFA9D08E"/>
        <bgColor rgb="FFA9D08E"/>
      </patternFill>
    </fill>
    <fill>
      <patternFill patternType="solid">
        <fgColor rgb="FFE2EFDA"/>
        <bgColor rgb="FFE2EFDA"/>
      </patternFill>
    </fill>
    <fill>
      <patternFill patternType="solid">
        <fgColor rgb="FFFFD965"/>
        <bgColor rgb="FFFFD965"/>
      </patternFill>
    </fill>
    <fill>
      <patternFill patternType="solid">
        <fgColor rgb="FFECECEC"/>
        <bgColor rgb="FFECECEC"/>
      </patternFill>
    </fill>
    <fill>
      <patternFill patternType="solid">
        <fgColor rgb="FFF2F2F2"/>
        <bgColor rgb="FFF2F2F2"/>
      </patternFill>
    </fill>
  </fills>
  <borders count="59">
    <border/>
    <border>
      <left/>
      <right/>
      <top/>
      <bottom/>
    </border>
    <border>
      <left/>
      <top/>
    </border>
    <border>
      <top/>
    </border>
    <border>
      <right/>
      <top/>
    </border>
    <border>
      <left/>
    </border>
    <border>
      <right/>
    </border>
    <border>
      <left/>
      <bottom/>
    </border>
    <border>
      <bottom/>
    </border>
    <border>
      <right/>
      <bottom/>
    </border>
    <border>
      <left/>
      <top/>
      <bottom/>
    </border>
    <border>
      <top/>
      <bottom/>
    </border>
    <border>
      <right/>
      <top/>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bottom/>
    </border>
    <border>
      <right style="thin">
        <color rgb="FF000000"/>
      </right>
      <top/>
      <bottom/>
    </border>
    <border>
      <left style="thin">
        <color rgb="FF000000"/>
      </left>
      <right style="thin">
        <color rgb="FF000000"/>
      </right>
      <top/>
      <bottom/>
    </border>
    <border>
      <left/>
      <right style="thin">
        <color rgb="FF000000"/>
      </right>
      <top/>
      <bottom/>
    </border>
    <border>
      <left style="thin">
        <color rgb="FF000000"/>
      </left>
      <right/>
      <top/>
      <bottom/>
    </border>
    <border>
      <left style="thin">
        <color rgb="FF000000"/>
      </left>
    </border>
    <border>
      <right style="thin">
        <color rgb="FF000000"/>
      </right>
    </border>
    <border>
      <left style="thin">
        <color rgb="FF000000"/>
      </left>
      <right style="thin">
        <color rgb="FF000000"/>
      </right>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top style="thin">
        <color rgb="FF000000"/>
      </top>
      <bottom/>
    </border>
    <border>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right/>
      <top style="thin">
        <color rgb="FF000000"/>
      </top>
      <bottom/>
    </border>
    <border>
      <left/>
      <right style="thin">
        <color rgb="FF000000"/>
      </right>
      <top style="thin">
        <color theme="0"/>
      </top>
      <bottom style="thin">
        <color theme="0"/>
      </bottom>
    </border>
    <border>
      <left/>
      <right style="thin">
        <color rgb="FF000000"/>
      </right>
      <top style="thin">
        <color rgb="FF000000"/>
      </top>
    </border>
    <border>
      <left/>
      <right style="thin">
        <color rgb="FF000000"/>
      </right>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border>
    <border>
      <right style="medium">
        <color rgb="FF000000"/>
      </right>
    </border>
    <border>
      <left style="medium">
        <color rgb="FF000000"/>
      </left>
      <right/>
      <top/>
      <bottom/>
    </border>
    <border>
      <left style="medium">
        <color rgb="FF000000"/>
      </left>
      <right/>
      <top/>
      <bottom style="medium">
        <color rgb="FF000000"/>
      </bottom>
    </border>
    <border>
      <left/>
      <right/>
      <top/>
      <bottom style="medium">
        <color rgb="FF000000"/>
      </bottom>
    </border>
    <border>
      <right style="medium">
        <color rgb="FF000000"/>
      </right>
      <bottom style="medium">
        <color rgb="FF000000"/>
      </bottom>
    </border>
  </borders>
  <cellStyleXfs count="1">
    <xf borderId="0" fillId="0" fontId="0" numFmtId="0" applyAlignment="1" applyFont="1"/>
  </cellStyleXfs>
  <cellXfs count="892">
    <xf borderId="0" fillId="0" fontId="0" numFmtId="0" xfId="0" applyAlignment="1" applyFont="1">
      <alignment readingOrder="0" shrinkToFit="0" vertical="bottom" wrapText="0"/>
    </xf>
    <xf borderId="1" fillId="2" fontId="1" numFmtId="0" xfId="0" applyBorder="1" applyFill="1" applyFont="1"/>
    <xf borderId="2" fillId="2" fontId="2" numFmtId="0" xfId="0" applyAlignment="1" applyBorder="1" applyFont="1">
      <alignment shrinkToFit="0" vertical="top" wrapText="1"/>
    </xf>
    <xf borderId="3" fillId="0" fontId="3" numFmtId="0" xfId="0" applyBorder="1" applyFont="1"/>
    <xf borderId="4" fillId="0" fontId="3" numFmtId="0" xfId="0" applyBorder="1" applyFont="1"/>
    <xf borderId="5" fillId="0" fontId="3" numFmtId="0" xfId="0" applyBorder="1" applyFont="1"/>
    <xf borderId="6" fillId="0" fontId="3" numFmtId="0" xfId="0" applyBorder="1" applyFont="1"/>
    <xf borderId="7" fillId="0" fontId="3" numFmtId="0" xfId="0" applyBorder="1" applyFont="1"/>
    <xf borderId="8" fillId="0" fontId="3" numFmtId="0" xfId="0" applyBorder="1" applyFont="1"/>
    <xf borderId="9" fillId="0" fontId="3" numFmtId="0" xfId="0" applyBorder="1" applyFont="1"/>
    <xf borderId="1" fillId="2" fontId="4" numFmtId="0" xfId="0" applyAlignment="1" applyBorder="1" applyFont="1">
      <alignment vertical="center"/>
    </xf>
    <xf borderId="1" fillId="2" fontId="5" numFmtId="0" xfId="0" applyAlignment="1" applyBorder="1" applyFont="1">
      <alignment vertical="center"/>
    </xf>
    <xf borderId="1" fillId="2" fontId="2" numFmtId="0" xfId="0" applyAlignment="1" applyBorder="1" applyFont="1">
      <alignment vertical="center"/>
    </xf>
    <xf borderId="10" fillId="2" fontId="2" numFmtId="0" xfId="0" applyAlignment="1" applyBorder="1" applyFont="1">
      <alignment shrinkToFit="0" vertical="center" wrapText="1"/>
    </xf>
    <xf borderId="11" fillId="0" fontId="3" numFmtId="0" xfId="0" applyBorder="1" applyFont="1"/>
    <xf borderId="12" fillId="0" fontId="3" numFmtId="0" xfId="0" applyBorder="1" applyFont="1"/>
    <xf borderId="1" fillId="2" fontId="6" numFmtId="0" xfId="0" applyAlignment="1" applyBorder="1" applyFont="1">
      <alignment vertical="center"/>
    </xf>
    <xf borderId="1" fillId="2" fontId="7" numFmtId="0" xfId="0" applyAlignment="1" applyBorder="1" applyFont="1">
      <alignment vertical="center"/>
    </xf>
    <xf borderId="1" fillId="3" fontId="1" numFmtId="0" xfId="0" applyBorder="1" applyFill="1" applyFont="1"/>
    <xf borderId="13" fillId="3" fontId="1" numFmtId="0" xfId="0" applyBorder="1" applyFont="1"/>
    <xf borderId="14" fillId="3" fontId="1" numFmtId="0" xfId="0" applyBorder="1" applyFont="1"/>
    <xf borderId="15" fillId="3" fontId="1" numFmtId="0" xfId="0" applyBorder="1" applyFont="1"/>
    <xf borderId="16" fillId="3" fontId="1" numFmtId="0" xfId="0" applyBorder="1" applyFont="1"/>
    <xf borderId="13" fillId="3" fontId="1" numFmtId="9" xfId="0" applyBorder="1" applyFont="1" applyNumberFormat="1"/>
    <xf borderId="14" fillId="3" fontId="1" numFmtId="9" xfId="0" applyBorder="1" applyFont="1" applyNumberFormat="1"/>
    <xf borderId="15" fillId="3" fontId="1" numFmtId="9" xfId="0" applyBorder="1" applyFont="1" applyNumberFormat="1"/>
    <xf borderId="13" fillId="3" fontId="1" numFmtId="164" xfId="0" applyBorder="1" applyFont="1" applyNumberFormat="1"/>
    <xf borderId="14" fillId="3" fontId="1" numFmtId="164" xfId="0" applyBorder="1" applyFont="1" applyNumberFormat="1"/>
    <xf borderId="15" fillId="3" fontId="1" numFmtId="164" xfId="0" applyBorder="1" applyFont="1" applyNumberFormat="1"/>
    <xf borderId="16" fillId="3" fontId="1" numFmtId="49" xfId="0" applyAlignment="1" applyBorder="1" applyFont="1" applyNumberFormat="1">
      <alignment horizontal="center" vertical="center"/>
    </xf>
    <xf borderId="0" fillId="0" fontId="1" numFmtId="0" xfId="0" applyFont="1"/>
    <xf borderId="1" fillId="3" fontId="8" numFmtId="0" xfId="0" applyAlignment="1" applyBorder="1" applyFont="1">
      <alignment horizontal="center" shrinkToFit="0" vertical="center" wrapText="1"/>
    </xf>
    <xf borderId="17" fillId="3" fontId="8" numFmtId="164" xfId="0" applyAlignment="1" applyBorder="1" applyFont="1" applyNumberFormat="1">
      <alignment horizontal="center" shrinkToFit="0" vertical="center" wrapText="1"/>
    </xf>
    <xf borderId="18" fillId="0" fontId="3" numFmtId="0" xfId="0" applyBorder="1" applyFont="1"/>
    <xf borderId="19" fillId="3" fontId="8" numFmtId="0" xfId="0" applyAlignment="1" applyBorder="1" applyFont="1">
      <alignment horizontal="center" shrinkToFit="0" vertical="center" wrapText="1"/>
    </xf>
    <xf borderId="17" fillId="3" fontId="8" numFmtId="0" xfId="0" applyAlignment="1" applyBorder="1" applyFont="1">
      <alignment horizontal="center" shrinkToFit="0" vertical="center" wrapText="1"/>
    </xf>
    <xf borderId="17" fillId="3" fontId="8" numFmtId="9" xfId="0" applyAlignment="1" applyBorder="1" applyFont="1" applyNumberFormat="1">
      <alignment horizontal="center" shrinkToFit="0" vertical="center" wrapText="1"/>
    </xf>
    <xf borderId="17" fillId="3" fontId="8" numFmtId="0" xfId="0" applyAlignment="1" applyBorder="1" applyFont="1">
      <alignment horizontal="center" vertical="center"/>
    </xf>
    <xf borderId="20" fillId="3" fontId="8" numFmtId="0" xfId="0" applyAlignment="1" applyBorder="1" applyFont="1">
      <alignment horizontal="center" shrinkToFit="0" vertical="center" wrapText="1"/>
    </xf>
    <xf borderId="19" fillId="3" fontId="8" numFmtId="49" xfId="0" applyAlignment="1" applyBorder="1" applyFont="1" applyNumberFormat="1">
      <alignment horizontal="center" shrinkToFit="0" vertical="center" wrapText="1"/>
    </xf>
    <xf borderId="13" fillId="4" fontId="8" numFmtId="0" xfId="0" applyBorder="1" applyFill="1" applyFont="1"/>
    <xf borderId="14" fillId="4" fontId="8" numFmtId="0" xfId="0" applyBorder="1" applyFont="1"/>
    <xf borderId="15" fillId="4" fontId="8" numFmtId="0" xfId="0" applyBorder="1" applyFont="1"/>
    <xf borderId="13" fillId="4" fontId="8" numFmtId="164" xfId="0" applyBorder="1" applyFont="1" applyNumberFormat="1"/>
    <xf borderId="14" fillId="4" fontId="8" numFmtId="164" xfId="0" applyBorder="1" applyFont="1" applyNumberFormat="1"/>
    <xf borderId="15" fillId="4" fontId="8" numFmtId="164" xfId="0" applyBorder="1" applyFont="1" applyNumberFormat="1"/>
    <xf borderId="19" fillId="4" fontId="8" numFmtId="164" xfId="0" applyBorder="1" applyFont="1" applyNumberFormat="1"/>
    <xf borderId="21" fillId="4" fontId="8" numFmtId="9" xfId="0" applyAlignment="1" applyBorder="1" applyFont="1" applyNumberFormat="1">
      <alignment horizontal="center" shrinkToFit="0" vertical="center" wrapText="1"/>
    </xf>
    <xf borderId="1" fillId="4" fontId="8" numFmtId="9" xfId="0" applyAlignment="1" applyBorder="1" applyFont="1" applyNumberFormat="1">
      <alignment horizontal="center" shrinkToFit="0" vertical="center" wrapText="1"/>
    </xf>
    <xf borderId="20" fillId="4" fontId="8" numFmtId="9" xfId="0" applyAlignment="1" applyBorder="1" applyFont="1" applyNumberFormat="1">
      <alignment horizontal="center" shrinkToFit="0" vertical="center" wrapText="1"/>
    </xf>
    <xf borderId="21" fillId="4" fontId="8" numFmtId="164" xfId="0" applyAlignment="1" applyBorder="1" applyFont="1" applyNumberFormat="1">
      <alignment horizontal="center" shrinkToFit="0" vertical="center" wrapText="1"/>
    </xf>
    <xf borderId="1" fillId="4" fontId="8" numFmtId="164" xfId="0" applyAlignment="1" applyBorder="1" applyFont="1" applyNumberFormat="1">
      <alignment horizontal="center" shrinkToFit="0" vertical="center" wrapText="1"/>
    </xf>
    <xf borderId="20" fillId="4" fontId="8" numFmtId="164" xfId="0" applyAlignment="1" applyBorder="1" applyFont="1" applyNumberFormat="1">
      <alignment horizontal="center" shrinkToFit="0" vertical="center" wrapText="1"/>
    </xf>
    <xf borderId="21" fillId="4" fontId="8" numFmtId="0" xfId="0" applyAlignment="1" applyBorder="1" applyFont="1">
      <alignment horizontal="center" vertical="center"/>
    </xf>
    <xf borderId="1" fillId="4" fontId="8" numFmtId="0" xfId="0" applyAlignment="1" applyBorder="1" applyFont="1">
      <alignment horizontal="center" vertical="center"/>
    </xf>
    <xf borderId="20" fillId="4" fontId="8" numFmtId="0" xfId="0" applyAlignment="1" applyBorder="1" applyFont="1">
      <alignment horizontal="center" vertical="center"/>
    </xf>
    <xf borderId="19" fillId="4" fontId="8" numFmtId="49" xfId="0" applyAlignment="1" applyBorder="1" applyFont="1" applyNumberFormat="1">
      <alignment horizontal="center" vertical="center"/>
    </xf>
    <xf borderId="1" fillId="4" fontId="1" numFmtId="0" xfId="0" applyBorder="1" applyFont="1"/>
    <xf borderId="21" fillId="4" fontId="8" numFmtId="0" xfId="0" applyAlignment="1" applyBorder="1" applyFont="1">
      <alignment horizontal="center"/>
    </xf>
    <xf borderId="19" fillId="4" fontId="8" numFmtId="0" xfId="0" applyAlignment="1" applyBorder="1" applyFont="1">
      <alignment horizontal="center" vertical="center"/>
    </xf>
    <xf borderId="21" fillId="4" fontId="9" numFmtId="9" xfId="0" applyAlignment="1" applyBorder="1" applyFont="1" applyNumberFormat="1">
      <alignment horizontal="center" vertical="center"/>
    </xf>
    <xf borderId="1" fillId="4" fontId="8" numFmtId="9" xfId="0" applyAlignment="1" applyBorder="1" applyFont="1" applyNumberFormat="1">
      <alignment horizontal="center" vertical="center"/>
    </xf>
    <xf borderId="20" fillId="4" fontId="8" numFmtId="9" xfId="0" applyAlignment="1" applyBorder="1" applyFont="1" applyNumberFormat="1">
      <alignment horizontal="center" vertical="center"/>
    </xf>
    <xf borderId="21" fillId="4" fontId="9" numFmtId="164" xfId="0" applyAlignment="1" applyBorder="1" applyFont="1" applyNumberFormat="1">
      <alignment horizontal="center" vertical="center"/>
    </xf>
    <xf borderId="1" fillId="4" fontId="8" numFmtId="164" xfId="0" applyAlignment="1" applyBorder="1" applyFont="1" applyNumberFormat="1">
      <alignment horizontal="center" vertical="center"/>
    </xf>
    <xf borderId="20" fillId="4" fontId="8" numFmtId="164" xfId="0" applyAlignment="1" applyBorder="1" applyFont="1" applyNumberFormat="1">
      <alignment horizontal="center" vertical="center"/>
    </xf>
    <xf borderId="21" fillId="4" fontId="9" numFmtId="3" xfId="0" applyAlignment="1" applyBorder="1" applyFont="1" applyNumberFormat="1">
      <alignment horizontal="center" vertical="center"/>
    </xf>
    <xf borderId="19" fillId="4" fontId="1" numFmtId="49" xfId="0" applyAlignment="1" applyBorder="1" applyFont="1" applyNumberFormat="1">
      <alignment horizontal="center" vertical="center"/>
    </xf>
    <xf borderId="1" fillId="3" fontId="8" numFmtId="0" xfId="0" applyAlignment="1" applyBorder="1" applyFont="1">
      <alignment shrinkToFit="0" wrapText="1"/>
    </xf>
    <xf borderId="22" fillId="0" fontId="8" numFmtId="0" xfId="0" applyAlignment="1" applyBorder="1" applyFont="1">
      <alignment horizontal="center" shrinkToFit="0" wrapText="1"/>
    </xf>
    <xf borderId="0" fillId="0" fontId="8" numFmtId="0" xfId="0" applyAlignment="1" applyFont="1">
      <alignment horizontal="center" shrinkToFit="0" wrapText="1"/>
    </xf>
    <xf borderId="23" fillId="0" fontId="8" numFmtId="0" xfId="0" applyAlignment="1" applyBorder="1" applyFont="1">
      <alignment horizontal="center" shrinkToFit="0" wrapText="1"/>
    </xf>
    <xf borderId="24" fillId="0" fontId="8" numFmtId="0" xfId="0" applyAlignment="1" applyBorder="1" applyFont="1">
      <alignment horizontal="center" shrinkToFit="0" wrapText="1"/>
    </xf>
    <xf borderId="22" fillId="0" fontId="1" numFmtId="9" xfId="0" applyAlignment="1" applyBorder="1" applyFont="1" applyNumberFormat="1">
      <alignment horizontal="center" vertical="center"/>
    </xf>
    <xf borderId="0" fillId="0" fontId="1" numFmtId="9" xfId="0" applyAlignment="1" applyFont="1" applyNumberFormat="1">
      <alignment horizontal="center" vertical="center"/>
    </xf>
    <xf borderId="23" fillId="0" fontId="1" numFmtId="9" xfId="0" applyAlignment="1" applyBorder="1" applyFont="1" applyNumberFormat="1">
      <alignment horizontal="center" vertical="center"/>
    </xf>
    <xf borderId="22" fillId="0" fontId="1" numFmtId="164" xfId="0" applyAlignment="1" applyBorder="1" applyFont="1" applyNumberFormat="1">
      <alignment horizontal="center" shrinkToFit="0" vertical="center" wrapText="1"/>
    </xf>
    <xf borderId="0" fillId="0" fontId="10" numFmtId="164" xfId="0" applyAlignment="1" applyFont="1" applyNumberFormat="1">
      <alignment horizontal="center" vertical="center"/>
    </xf>
    <xf borderId="23" fillId="0" fontId="10" numFmtId="164" xfId="0" applyAlignment="1" applyBorder="1" applyFont="1" applyNumberFormat="1">
      <alignment horizontal="center" vertical="center"/>
    </xf>
    <xf borderId="22" fillId="0" fontId="1" numFmtId="0" xfId="0" applyAlignment="1" applyBorder="1" applyFont="1">
      <alignment horizontal="center" vertical="center"/>
    </xf>
    <xf borderId="0" fillId="0" fontId="1" numFmtId="0" xfId="0" applyAlignment="1" applyFont="1">
      <alignment horizontal="center" vertical="center"/>
    </xf>
    <xf borderId="23" fillId="0" fontId="1" numFmtId="165" xfId="0" applyAlignment="1" applyBorder="1" applyFont="1" applyNumberFormat="1">
      <alignment horizontal="center" vertical="center"/>
    </xf>
    <xf borderId="22" fillId="0" fontId="1" numFmtId="165" xfId="0" applyAlignment="1" applyBorder="1" applyFont="1" applyNumberFormat="1">
      <alignment horizontal="center" vertical="center"/>
    </xf>
    <xf borderId="0" fillId="0" fontId="1" numFmtId="165" xfId="0" applyAlignment="1" applyFont="1" applyNumberFormat="1">
      <alignment horizontal="center" vertical="center"/>
    </xf>
    <xf borderId="24" fillId="0" fontId="1" numFmtId="49" xfId="0" applyAlignment="1" applyBorder="1" applyFont="1" applyNumberFormat="1">
      <alignment horizontal="center" vertical="center"/>
    </xf>
    <xf borderId="21" fillId="5" fontId="1" numFmtId="1" xfId="0" applyAlignment="1" applyBorder="1" applyFill="1" applyFont="1" applyNumberFormat="1">
      <alignment horizontal="center"/>
    </xf>
    <xf borderId="1" fillId="5" fontId="1" numFmtId="1" xfId="0" applyAlignment="1" applyBorder="1" applyFont="1" applyNumberFormat="1">
      <alignment horizontal="center"/>
    </xf>
    <xf borderId="20" fillId="5" fontId="1" numFmtId="1" xfId="0" applyAlignment="1" applyBorder="1" applyFont="1" applyNumberFormat="1">
      <alignment horizontal="center"/>
    </xf>
    <xf borderId="19" fillId="5" fontId="1" numFmtId="166" xfId="0" applyAlignment="1" applyBorder="1" applyFont="1" applyNumberFormat="1">
      <alignment horizontal="center"/>
    </xf>
    <xf borderId="21" fillId="5" fontId="1" numFmtId="167" xfId="0" applyAlignment="1" applyBorder="1" applyFont="1" applyNumberFormat="1">
      <alignment horizontal="center" vertical="center"/>
    </xf>
    <xf borderId="1" fillId="5" fontId="1" numFmtId="167" xfId="0" applyAlignment="1" applyBorder="1" applyFont="1" applyNumberFormat="1">
      <alignment vertical="center"/>
    </xf>
    <xf borderId="20" fillId="5" fontId="1" numFmtId="167" xfId="0" applyAlignment="1" applyBorder="1" applyFont="1" applyNumberFormat="1">
      <alignment vertical="center"/>
    </xf>
    <xf borderId="21" fillId="5" fontId="1" numFmtId="167" xfId="0" applyAlignment="1" applyBorder="1" applyFont="1" applyNumberFormat="1">
      <alignment vertical="center"/>
    </xf>
    <xf borderId="21" fillId="5" fontId="1" numFmtId="9" xfId="0" applyAlignment="1" applyBorder="1" applyFont="1" applyNumberFormat="1">
      <alignment horizontal="center" vertical="center"/>
    </xf>
    <xf borderId="1" fillId="5" fontId="1" numFmtId="9" xfId="0" applyAlignment="1" applyBorder="1" applyFont="1" applyNumberFormat="1">
      <alignment horizontal="center" vertical="center"/>
    </xf>
    <xf borderId="20" fillId="5" fontId="1" numFmtId="9" xfId="0" applyAlignment="1" applyBorder="1" applyFont="1" applyNumberFormat="1">
      <alignment horizontal="center" vertical="center"/>
    </xf>
    <xf borderId="21" fillId="5" fontId="1" numFmtId="164" xfId="0" applyAlignment="1" applyBorder="1" applyFont="1" applyNumberFormat="1">
      <alignment horizontal="center" vertical="center"/>
    </xf>
    <xf borderId="1" fillId="5" fontId="1" numFmtId="164" xfId="0" applyAlignment="1" applyBorder="1" applyFont="1" applyNumberFormat="1">
      <alignment horizontal="center" vertical="center"/>
    </xf>
    <xf borderId="20" fillId="5" fontId="1" numFmtId="164" xfId="0" applyAlignment="1" applyBorder="1" applyFont="1" applyNumberFormat="1">
      <alignment horizontal="center" vertical="center"/>
    </xf>
    <xf borderId="21" fillId="5" fontId="1" numFmtId="3" xfId="0" applyAlignment="1" applyBorder="1" applyFont="1" applyNumberFormat="1">
      <alignment horizontal="center" vertical="center"/>
    </xf>
    <xf borderId="1" fillId="5" fontId="1" numFmtId="3" xfId="0" applyAlignment="1" applyBorder="1" applyFont="1" applyNumberFormat="1">
      <alignment horizontal="center" vertical="center"/>
    </xf>
    <xf borderId="20" fillId="5" fontId="1" numFmtId="3" xfId="0" applyAlignment="1" applyBorder="1" applyFont="1" applyNumberFormat="1">
      <alignment horizontal="center" vertical="center"/>
    </xf>
    <xf borderId="21" fillId="5" fontId="1" numFmtId="168" xfId="0" applyAlignment="1" applyBorder="1" applyFont="1" applyNumberFormat="1">
      <alignment horizontal="center" vertical="center"/>
    </xf>
    <xf borderId="19" fillId="5" fontId="1" numFmtId="49" xfId="0" applyAlignment="1" applyBorder="1" applyFont="1" applyNumberFormat="1">
      <alignment horizontal="center" shrinkToFit="0" vertical="center" wrapText="1"/>
    </xf>
    <xf borderId="0" fillId="0" fontId="11" numFmtId="169" xfId="0" applyAlignment="1" applyFont="1" applyNumberFormat="1">
      <alignment vertical="center"/>
    </xf>
    <xf borderId="0" fillId="0" fontId="1" numFmtId="169" xfId="0" applyAlignment="1" applyFont="1" applyNumberFormat="1">
      <alignment vertical="center"/>
    </xf>
    <xf borderId="0" fillId="0" fontId="1" numFmtId="3" xfId="0" applyFont="1" applyNumberFormat="1"/>
    <xf borderId="19" fillId="5" fontId="8" numFmtId="166" xfId="0" applyAlignment="1" applyBorder="1" applyFont="1" applyNumberFormat="1">
      <alignment horizontal="center"/>
    </xf>
    <xf borderId="0" fillId="0" fontId="11" numFmtId="164" xfId="0" applyAlignment="1" applyFont="1" applyNumberFormat="1">
      <alignment vertical="center"/>
    </xf>
    <xf borderId="1" fillId="3" fontId="8" numFmtId="0" xfId="0" applyAlignment="1" applyBorder="1" applyFont="1">
      <alignment shrinkToFit="0" vertical="center" wrapText="1"/>
    </xf>
    <xf borderId="21" fillId="5" fontId="1" numFmtId="1" xfId="0" applyAlignment="1" applyBorder="1" applyFont="1" applyNumberFormat="1">
      <alignment horizontal="center" vertical="center"/>
    </xf>
    <xf borderId="1" fillId="5" fontId="1" numFmtId="1" xfId="0" applyAlignment="1" applyBorder="1" applyFont="1" applyNumberFormat="1">
      <alignment horizontal="center" vertical="center"/>
    </xf>
    <xf borderId="20" fillId="5" fontId="1" numFmtId="1" xfId="0" applyAlignment="1" applyBorder="1" applyFont="1" applyNumberFormat="1">
      <alignment horizontal="center" vertical="center"/>
    </xf>
    <xf borderId="1" fillId="4" fontId="8" numFmtId="0" xfId="0" applyAlignment="1" applyBorder="1" applyFont="1">
      <alignment shrinkToFit="0" wrapText="1"/>
    </xf>
    <xf borderId="19" fillId="5" fontId="1" numFmtId="167" xfId="0" applyAlignment="1" applyBorder="1" applyFont="1" applyNumberFormat="1">
      <alignment horizontal="center" vertical="center"/>
    </xf>
    <xf borderId="20" fillId="5" fontId="1" numFmtId="167" xfId="0" applyAlignment="1" applyBorder="1" applyFont="1" applyNumberFormat="1">
      <alignment horizontal="center" vertical="center"/>
    </xf>
    <xf borderId="25" fillId="5" fontId="1" numFmtId="1" xfId="0" applyAlignment="1" applyBorder="1" applyFont="1" applyNumberFormat="1">
      <alignment horizontal="center"/>
    </xf>
    <xf borderId="26" fillId="5" fontId="1" numFmtId="1" xfId="0" applyAlignment="1" applyBorder="1" applyFont="1" applyNumberFormat="1">
      <alignment horizontal="center"/>
    </xf>
    <xf borderId="27" fillId="5" fontId="1" numFmtId="1" xfId="0" applyAlignment="1" applyBorder="1" applyFont="1" applyNumberFormat="1">
      <alignment horizontal="center"/>
    </xf>
    <xf borderId="21" fillId="5" fontId="1" numFmtId="0" xfId="0" applyAlignment="1" applyBorder="1" applyFont="1">
      <alignment horizontal="center" vertical="center"/>
    </xf>
    <xf borderId="19" fillId="5" fontId="1" numFmtId="0" xfId="0" applyAlignment="1" applyBorder="1" applyFont="1">
      <alignment horizontal="center" vertical="center"/>
    </xf>
    <xf borderId="1" fillId="4" fontId="8" numFmtId="0" xfId="0" applyAlignment="1" applyBorder="1" applyFont="1">
      <alignment shrinkToFit="0" vertical="center" wrapText="1"/>
    </xf>
    <xf borderId="22" fillId="0" fontId="1" numFmtId="0" xfId="0" applyAlignment="1" applyBorder="1" applyFont="1">
      <alignment horizontal="center" shrinkToFit="0" vertical="center" wrapText="1"/>
    </xf>
    <xf borderId="23" fillId="0" fontId="3" numFmtId="0" xfId="0" applyBorder="1" applyFont="1"/>
    <xf borderId="24" fillId="0" fontId="1" numFmtId="0" xfId="0" applyAlignment="1" applyBorder="1" applyFont="1">
      <alignment horizontal="center" shrinkToFit="0" vertical="center" wrapText="1"/>
    </xf>
    <xf borderId="22" fillId="0" fontId="1" numFmtId="165" xfId="0" applyAlignment="1" applyBorder="1" applyFont="1" applyNumberFormat="1">
      <alignment horizontal="center" shrinkToFit="0" vertical="center" wrapText="1"/>
    </xf>
    <xf borderId="0" fillId="0" fontId="1" numFmtId="165" xfId="0" applyAlignment="1" applyFont="1" applyNumberFormat="1">
      <alignment horizontal="center" shrinkToFit="0" vertical="center" wrapText="1"/>
    </xf>
    <xf borderId="23" fillId="0" fontId="1" numFmtId="165" xfId="0" applyAlignment="1" applyBorder="1" applyFont="1" applyNumberFormat="1">
      <alignment horizontal="center" shrinkToFit="0" vertical="center" wrapText="1"/>
    </xf>
    <xf borderId="0" fillId="0" fontId="1" numFmtId="0" xfId="0" applyAlignment="1" applyFont="1">
      <alignment horizontal="center" shrinkToFit="0" vertical="center" wrapText="1"/>
    </xf>
    <xf borderId="23" fillId="0" fontId="1" numFmtId="0" xfId="0" applyAlignment="1" applyBorder="1" applyFont="1">
      <alignment horizontal="center" shrinkToFit="0" vertical="center" wrapText="1"/>
    </xf>
    <xf borderId="0" fillId="0" fontId="1" numFmtId="49" xfId="0" applyAlignment="1" applyFont="1" applyNumberFormat="1">
      <alignment horizontal="center" shrinkToFit="0" vertical="center" wrapText="1"/>
    </xf>
    <xf borderId="23" fillId="0" fontId="1" numFmtId="49" xfId="0" applyAlignment="1" applyBorder="1" applyFont="1" applyNumberFormat="1">
      <alignment horizontal="center" shrinkToFit="0" vertical="center" wrapText="1"/>
    </xf>
    <xf borderId="1" fillId="3" fontId="8" numFmtId="0" xfId="0" applyAlignment="1" applyBorder="1" applyFont="1">
      <alignment vertical="center"/>
    </xf>
    <xf borderId="13" fillId="5" fontId="1" numFmtId="1" xfId="0" applyAlignment="1" applyBorder="1" applyFont="1" applyNumberFormat="1">
      <alignment horizontal="center"/>
    </xf>
    <xf borderId="14" fillId="5" fontId="1" numFmtId="1" xfId="0" applyAlignment="1" applyBorder="1" applyFont="1" applyNumberFormat="1">
      <alignment horizontal="center"/>
    </xf>
    <xf borderId="15" fillId="5" fontId="1" numFmtId="1" xfId="0" applyAlignment="1" applyBorder="1" applyFont="1" applyNumberFormat="1">
      <alignment horizontal="center"/>
    </xf>
    <xf borderId="21" fillId="5" fontId="1" numFmtId="2" xfId="0" applyAlignment="1" applyBorder="1" applyFont="1" applyNumberFormat="1">
      <alignment horizontal="center"/>
    </xf>
    <xf borderId="1" fillId="5" fontId="1" numFmtId="2" xfId="0" applyAlignment="1" applyBorder="1" applyFont="1" applyNumberFormat="1">
      <alignment horizontal="center"/>
    </xf>
    <xf borderId="20" fillId="5" fontId="1" numFmtId="2" xfId="0" applyAlignment="1" applyBorder="1" applyFont="1" applyNumberFormat="1">
      <alignment horizontal="center"/>
    </xf>
    <xf borderId="1" fillId="3" fontId="8" numFmtId="49" xfId="0" applyAlignment="1" applyBorder="1" applyFont="1" applyNumberFormat="1">
      <alignment vertical="center"/>
    </xf>
    <xf borderId="19" fillId="5" fontId="1" numFmtId="0" xfId="0" applyAlignment="1" applyBorder="1" applyFont="1">
      <alignment horizontal="center"/>
    </xf>
    <xf borderId="1" fillId="4" fontId="8" numFmtId="0" xfId="0" applyBorder="1" applyFont="1"/>
    <xf borderId="22" fillId="0" fontId="1" numFmtId="0" xfId="0" applyAlignment="1" applyBorder="1" applyFont="1">
      <alignment horizontal="center"/>
    </xf>
    <xf borderId="0" fillId="0" fontId="1" numFmtId="0" xfId="0" applyAlignment="1" applyFont="1">
      <alignment horizontal="center"/>
    </xf>
    <xf borderId="23" fillId="0" fontId="1" numFmtId="0" xfId="0" applyAlignment="1" applyBorder="1" applyFont="1">
      <alignment horizontal="center"/>
    </xf>
    <xf borderId="24" fillId="0" fontId="1" numFmtId="9" xfId="0" applyAlignment="1" applyBorder="1" applyFont="1" applyNumberFormat="1">
      <alignment horizontal="center"/>
    </xf>
    <xf borderId="22" fillId="0" fontId="1" numFmtId="0" xfId="0" applyBorder="1" applyFont="1"/>
    <xf borderId="23" fillId="0" fontId="1" numFmtId="0" xfId="0" applyBorder="1" applyFont="1"/>
    <xf borderId="23" fillId="0" fontId="1" numFmtId="164" xfId="0" applyBorder="1" applyFont="1" applyNumberFormat="1"/>
    <xf borderId="24" fillId="0" fontId="1" numFmtId="0" xfId="0" applyAlignment="1" applyBorder="1" applyFont="1">
      <alignment horizontal="center"/>
    </xf>
    <xf borderId="24" fillId="0" fontId="1" numFmtId="49" xfId="0" applyAlignment="1" applyBorder="1" applyFont="1" applyNumberFormat="1">
      <alignment horizontal="center" shrinkToFit="0" vertical="center" wrapText="1"/>
    </xf>
    <xf borderId="0" fillId="0" fontId="11" numFmtId="0" xfId="0" applyFont="1"/>
    <xf borderId="1" fillId="3" fontId="8" numFmtId="0" xfId="0" applyBorder="1" applyFont="1"/>
    <xf borderId="24" fillId="0" fontId="1" numFmtId="0" xfId="0" applyBorder="1" applyFont="1"/>
    <xf borderId="19" fillId="5" fontId="1" numFmtId="1" xfId="0" applyAlignment="1" applyBorder="1" applyFont="1" applyNumberFormat="1">
      <alignment horizontal="center"/>
    </xf>
    <xf borderId="1" fillId="4" fontId="12" numFmtId="0" xfId="0" applyBorder="1" applyFont="1"/>
    <xf borderId="19" fillId="5" fontId="8" numFmtId="166" xfId="0" applyAlignment="1" applyBorder="1" applyFont="1" applyNumberFormat="1">
      <alignment horizontal="center" vertical="center"/>
    </xf>
    <xf borderId="1" fillId="3" fontId="12" numFmtId="0" xfId="0" applyAlignment="1" applyBorder="1" applyFont="1">
      <alignment shrinkToFit="0" wrapText="1"/>
    </xf>
    <xf borderId="28" fillId="5" fontId="1" numFmtId="166" xfId="0" applyAlignment="1" applyBorder="1" applyFont="1" applyNumberFormat="1">
      <alignment horizontal="center" vertical="center"/>
    </xf>
    <xf borderId="25" fillId="5" fontId="1" numFmtId="2" xfId="0" applyAlignment="1" applyBorder="1" applyFont="1" applyNumberFormat="1">
      <alignment horizontal="center"/>
    </xf>
    <xf borderId="26" fillId="5" fontId="1" numFmtId="2" xfId="0" applyAlignment="1" applyBorder="1" applyFont="1" applyNumberFormat="1">
      <alignment horizontal="center"/>
    </xf>
    <xf borderId="27" fillId="5" fontId="1" numFmtId="2" xfId="0" applyAlignment="1" applyBorder="1" applyFont="1" applyNumberFormat="1">
      <alignment horizontal="center"/>
    </xf>
    <xf borderId="25" fillId="5" fontId="1" numFmtId="9" xfId="0" applyAlignment="1" applyBorder="1" applyFont="1" applyNumberFormat="1">
      <alignment horizontal="center" vertical="center"/>
    </xf>
    <xf borderId="26" fillId="5" fontId="1" numFmtId="9" xfId="0" applyAlignment="1" applyBorder="1" applyFont="1" applyNumberFormat="1">
      <alignment horizontal="center" vertical="center"/>
    </xf>
    <xf borderId="27" fillId="5" fontId="1" numFmtId="9" xfId="0" applyAlignment="1" applyBorder="1" applyFont="1" applyNumberFormat="1">
      <alignment horizontal="center" vertical="center"/>
    </xf>
    <xf borderId="25" fillId="5" fontId="1" numFmtId="164" xfId="0" applyAlignment="1" applyBorder="1" applyFont="1" applyNumberFormat="1">
      <alignment horizontal="center" vertical="center"/>
    </xf>
    <xf borderId="26" fillId="5" fontId="1" numFmtId="164" xfId="0" applyAlignment="1" applyBorder="1" applyFont="1" applyNumberFormat="1">
      <alignment horizontal="center" vertical="center"/>
    </xf>
    <xf borderId="27" fillId="5" fontId="1" numFmtId="164" xfId="0" applyAlignment="1" applyBorder="1" applyFont="1" applyNumberFormat="1">
      <alignment horizontal="center" vertical="center"/>
    </xf>
    <xf borderId="25" fillId="5" fontId="1" numFmtId="3" xfId="0" applyAlignment="1" applyBorder="1" applyFont="1" applyNumberFormat="1">
      <alignment horizontal="center" vertical="center"/>
    </xf>
    <xf borderId="26" fillId="5" fontId="1" numFmtId="3" xfId="0" applyAlignment="1" applyBorder="1" applyFont="1" applyNumberFormat="1">
      <alignment horizontal="center" vertical="center"/>
    </xf>
    <xf borderId="27" fillId="5" fontId="1" numFmtId="3" xfId="0" applyAlignment="1" applyBorder="1" applyFont="1" applyNumberFormat="1">
      <alignment horizontal="center" vertical="center"/>
    </xf>
    <xf borderId="25" fillId="5" fontId="1" numFmtId="168" xfId="0" applyAlignment="1" applyBorder="1" applyFont="1" applyNumberFormat="1">
      <alignment horizontal="center" vertical="center"/>
    </xf>
    <xf borderId="28" fillId="5" fontId="1" numFmtId="168" xfId="0" applyAlignment="1" applyBorder="1" applyFont="1" applyNumberFormat="1">
      <alignment horizontal="center" vertical="center"/>
    </xf>
    <xf borderId="28" fillId="5" fontId="1" numFmtId="164" xfId="0" applyAlignment="1" applyBorder="1" applyFont="1" applyNumberFormat="1">
      <alignment horizontal="center" vertical="center"/>
    </xf>
    <xf borderId="28" fillId="5" fontId="1" numFmtId="1" xfId="0" applyAlignment="1" applyBorder="1" applyFont="1" applyNumberFormat="1">
      <alignment horizontal="center"/>
    </xf>
    <xf borderId="28" fillId="5" fontId="1" numFmtId="49" xfId="0" applyAlignment="1" applyBorder="1" applyFont="1" applyNumberFormat="1">
      <alignment horizontal="center" shrinkToFit="0" vertical="center" wrapText="1"/>
    </xf>
    <xf borderId="10" fillId="6" fontId="1" numFmtId="0" xfId="0" applyAlignment="1" applyBorder="1" applyFill="1" applyFont="1">
      <alignment shrinkToFit="0" wrapText="1"/>
    </xf>
    <xf borderId="29" fillId="3" fontId="8" numFmtId="0" xfId="0" applyAlignment="1" applyBorder="1" applyFont="1">
      <alignment horizontal="center"/>
    </xf>
    <xf borderId="30" fillId="0" fontId="3" numFmtId="0" xfId="0" applyBorder="1" applyFont="1"/>
    <xf borderId="31" fillId="0" fontId="3" numFmtId="0" xfId="0" applyBorder="1" applyFont="1"/>
    <xf borderId="13" fillId="3" fontId="8" numFmtId="0" xfId="0" applyBorder="1" applyFont="1"/>
    <xf borderId="32" fillId="3" fontId="8" numFmtId="0" xfId="0" applyAlignment="1" applyBorder="1" applyFont="1">
      <alignment horizontal="center"/>
    </xf>
    <xf borderId="25" fillId="3" fontId="8" numFmtId="0" xfId="0" applyAlignment="1" applyBorder="1" applyFont="1">
      <alignment horizontal="center"/>
    </xf>
    <xf borderId="26" fillId="3" fontId="8" numFmtId="0" xfId="0" applyAlignment="1" applyBorder="1" applyFont="1">
      <alignment horizontal="center"/>
    </xf>
    <xf borderId="27" fillId="3" fontId="8" numFmtId="0" xfId="0" applyAlignment="1" applyBorder="1" applyFont="1">
      <alignment horizontal="center"/>
    </xf>
    <xf borderId="0" fillId="0" fontId="8" numFmtId="0" xfId="0" applyFont="1"/>
    <xf borderId="33" fillId="0" fontId="1" numFmtId="0" xfId="0" applyAlignment="1" applyBorder="1" applyFont="1">
      <alignment horizontal="center"/>
    </xf>
    <xf borderId="13" fillId="7" fontId="13" numFmtId="0" xfId="0" applyAlignment="1" applyBorder="1" applyFill="1" applyFont="1">
      <alignment vertical="top"/>
    </xf>
    <xf borderId="13" fillId="7" fontId="1" numFmtId="1" xfId="0" applyAlignment="1" applyBorder="1" applyFont="1" applyNumberFormat="1">
      <alignment horizontal="center"/>
    </xf>
    <xf borderId="14" fillId="7" fontId="1" numFmtId="1" xfId="0" applyAlignment="1" applyBorder="1" applyFont="1" applyNumberFormat="1">
      <alignment horizontal="center"/>
    </xf>
    <xf borderId="15" fillId="7" fontId="1" numFmtId="1" xfId="0" applyAlignment="1" applyBorder="1" applyFont="1" applyNumberFormat="1">
      <alignment horizontal="center"/>
    </xf>
    <xf borderId="14" fillId="7" fontId="1" numFmtId="166" xfId="0" applyAlignment="1" applyBorder="1" applyFont="1" applyNumberFormat="1">
      <alignment horizontal="center"/>
    </xf>
    <xf borderId="15" fillId="7" fontId="1" numFmtId="166" xfId="0" applyAlignment="1" applyBorder="1" applyFont="1" applyNumberFormat="1">
      <alignment horizontal="center"/>
    </xf>
    <xf borderId="0" fillId="0" fontId="14" numFmtId="0" xfId="0" applyFont="1"/>
    <xf borderId="21" fillId="7" fontId="13" numFmtId="0" xfId="0" applyAlignment="1" applyBorder="1" applyFont="1">
      <alignment vertical="top"/>
    </xf>
    <xf borderId="21" fillId="7" fontId="1" numFmtId="1" xfId="0" applyAlignment="1" applyBorder="1" applyFont="1" applyNumberFormat="1">
      <alignment horizontal="center"/>
    </xf>
    <xf borderId="1" fillId="7" fontId="1" numFmtId="1" xfId="0" applyAlignment="1" applyBorder="1" applyFont="1" applyNumberFormat="1">
      <alignment horizontal="center"/>
    </xf>
    <xf borderId="20" fillId="7" fontId="1" numFmtId="1" xfId="0" applyAlignment="1" applyBorder="1" applyFont="1" applyNumberFormat="1">
      <alignment horizontal="center"/>
    </xf>
    <xf borderId="1" fillId="7" fontId="1" numFmtId="166" xfId="0" applyAlignment="1" applyBorder="1" applyFont="1" applyNumberFormat="1">
      <alignment horizontal="center"/>
    </xf>
    <xf borderId="20" fillId="7" fontId="1" numFmtId="166" xfId="0" applyAlignment="1" applyBorder="1" applyFont="1" applyNumberFormat="1">
      <alignment horizontal="center"/>
    </xf>
    <xf borderId="21" fillId="7" fontId="13" numFmtId="0" xfId="0" applyAlignment="1" applyBorder="1" applyFont="1">
      <alignment shrinkToFit="0" vertical="top" wrapText="1"/>
    </xf>
    <xf borderId="22" fillId="0" fontId="1" numFmtId="1" xfId="0" applyAlignment="1" applyBorder="1" applyFont="1" applyNumberFormat="1">
      <alignment horizontal="center"/>
    </xf>
    <xf borderId="0" fillId="0" fontId="1" numFmtId="1" xfId="0" applyAlignment="1" applyFont="1" applyNumberFormat="1">
      <alignment horizontal="center"/>
    </xf>
    <xf borderId="23" fillId="0" fontId="1" numFmtId="1" xfId="0" applyAlignment="1" applyBorder="1" applyFont="1" applyNumberFormat="1">
      <alignment horizontal="center"/>
    </xf>
    <xf borderId="22" fillId="0" fontId="1" numFmtId="0" xfId="0" applyAlignment="1" applyBorder="1" applyFont="1">
      <alignment horizontal="left"/>
    </xf>
    <xf borderId="22" fillId="0" fontId="1" numFmtId="166" xfId="0" applyAlignment="1" applyBorder="1" applyFont="1" applyNumberFormat="1">
      <alignment horizontal="center"/>
    </xf>
    <xf borderId="0" fillId="0" fontId="1" numFmtId="166" xfId="0" applyAlignment="1" applyFont="1" applyNumberFormat="1">
      <alignment horizontal="center"/>
    </xf>
    <xf borderId="23" fillId="0" fontId="1" numFmtId="166" xfId="0" applyAlignment="1" applyBorder="1" applyFont="1" applyNumberFormat="1">
      <alignment horizontal="center"/>
    </xf>
    <xf borderId="22" fillId="0" fontId="8" numFmtId="0" xfId="0" applyBorder="1" applyFont="1"/>
    <xf borderId="22" fillId="0" fontId="8" numFmtId="166" xfId="0" applyAlignment="1" applyBorder="1" applyFont="1" applyNumberFormat="1">
      <alignment horizontal="center"/>
    </xf>
    <xf borderId="0" fillId="0" fontId="8" numFmtId="166" xfId="0" applyAlignment="1" applyFont="1" applyNumberFormat="1">
      <alignment horizontal="center"/>
    </xf>
    <xf borderId="34" fillId="0" fontId="8" numFmtId="0" xfId="0" applyBorder="1" applyFont="1"/>
    <xf borderId="35" fillId="0" fontId="8" numFmtId="164" xfId="0" applyAlignment="1" applyBorder="1" applyFont="1" applyNumberFormat="1">
      <alignment horizontal="center"/>
    </xf>
    <xf borderId="33" fillId="0" fontId="8" numFmtId="164" xfId="0" applyAlignment="1" applyBorder="1" applyFont="1" applyNumberFormat="1">
      <alignment horizontal="center"/>
    </xf>
    <xf borderId="36" fillId="0" fontId="8" numFmtId="164" xfId="0" applyAlignment="1" applyBorder="1" applyFont="1" applyNumberFormat="1">
      <alignment horizontal="center"/>
    </xf>
    <xf borderId="35" fillId="0" fontId="1" numFmtId="0" xfId="0" applyAlignment="1" applyBorder="1" applyFont="1">
      <alignment horizontal="left"/>
    </xf>
    <xf borderId="36" fillId="0" fontId="1" numFmtId="0" xfId="0" applyAlignment="1" applyBorder="1" applyFont="1">
      <alignment horizontal="center"/>
    </xf>
    <xf borderId="0" fillId="0" fontId="15" numFmtId="0" xfId="0" applyFont="1"/>
    <xf borderId="35" fillId="0" fontId="8" numFmtId="0" xfId="0" applyBorder="1" applyFont="1"/>
    <xf borderId="33" fillId="0" fontId="1" numFmtId="0" xfId="0" applyBorder="1" applyFont="1"/>
    <xf borderId="36" fillId="0" fontId="1" numFmtId="0" xfId="0" applyBorder="1" applyFont="1"/>
    <xf borderId="33" fillId="0" fontId="8" numFmtId="0" xfId="0" applyBorder="1" applyFont="1"/>
    <xf borderId="19" fillId="7" fontId="13" numFmtId="0" xfId="0" applyAlignment="1" applyBorder="1" applyFont="1">
      <alignment vertical="top"/>
    </xf>
    <xf borderId="1" fillId="7" fontId="13" numFmtId="0" xfId="0" applyAlignment="1" applyBorder="1" applyFont="1">
      <alignment vertical="top"/>
    </xf>
    <xf borderId="21" fillId="7" fontId="13" numFmtId="0" xfId="0" applyBorder="1" applyFont="1"/>
    <xf borderId="0" fillId="0" fontId="1" numFmtId="0" xfId="0" applyAlignment="1" applyFont="1">
      <alignment horizontal="left" shrinkToFit="0" wrapText="1"/>
    </xf>
    <xf borderId="0" fillId="8" fontId="8" numFmtId="0" xfId="0" applyAlignment="1" applyFill="1" applyFont="1">
      <alignment readingOrder="0"/>
    </xf>
    <xf borderId="33" fillId="8" fontId="1" numFmtId="0" xfId="0" applyAlignment="1" applyBorder="1" applyFont="1">
      <alignment horizontal="center"/>
    </xf>
    <xf borderId="0" fillId="8" fontId="1" numFmtId="0" xfId="0" applyAlignment="1" applyFont="1">
      <alignment horizontal="center"/>
    </xf>
    <xf borderId="13" fillId="7" fontId="13" numFmtId="0" xfId="0" applyAlignment="1" applyBorder="1" applyFont="1">
      <alignment readingOrder="0" vertical="top"/>
    </xf>
    <xf borderId="0" fillId="0" fontId="14" numFmtId="0" xfId="0" applyAlignment="1" applyFont="1">
      <alignment readingOrder="0"/>
    </xf>
    <xf borderId="21" fillId="7" fontId="13" numFmtId="0" xfId="0" applyAlignment="1" applyBorder="1" applyFont="1">
      <alignment readingOrder="0" shrinkToFit="0" vertical="top" wrapText="1"/>
    </xf>
    <xf borderId="0" fillId="9" fontId="16" numFmtId="0" xfId="0" applyAlignment="1" applyFill="1" applyFont="1">
      <alignment readingOrder="0"/>
    </xf>
    <xf borderId="21" fillId="7" fontId="13" numFmtId="0" xfId="0" applyAlignment="1" applyBorder="1" applyFont="1">
      <alignment readingOrder="0" vertical="top"/>
    </xf>
    <xf borderId="0" fillId="0" fontId="1" numFmtId="0" xfId="0" applyAlignment="1" applyFont="1">
      <alignment shrinkToFit="0" wrapText="1"/>
    </xf>
    <xf borderId="0" fillId="0" fontId="1" numFmtId="49" xfId="0" applyFont="1" applyNumberFormat="1"/>
    <xf borderId="14" fillId="3" fontId="8" numFmtId="0" xfId="0" applyBorder="1" applyFont="1"/>
    <xf borderId="21" fillId="3" fontId="9" numFmtId="3" xfId="0" applyAlignment="1" applyBorder="1" applyFont="1" applyNumberFormat="1">
      <alignment horizontal="center"/>
    </xf>
    <xf borderId="1" fillId="3" fontId="8" numFmtId="0" xfId="0" applyAlignment="1" applyBorder="1" applyFont="1">
      <alignment horizontal="center"/>
    </xf>
    <xf borderId="20" fillId="3" fontId="8" numFmtId="0" xfId="0" applyAlignment="1" applyBorder="1" applyFont="1">
      <alignment horizontal="center"/>
    </xf>
    <xf borderId="1" fillId="3" fontId="9" numFmtId="3" xfId="0" applyAlignment="1" applyBorder="1" applyFont="1" applyNumberFormat="1">
      <alignment horizontal="center"/>
    </xf>
    <xf borderId="1" fillId="4" fontId="1" numFmtId="0" xfId="0" applyAlignment="1" applyBorder="1" applyFont="1">
      <alignment shrinkToFit="0" wrapText="1"/>
    </xf>
    <xf borderId="21" fillId="10" fontId="1" numFmtId="10" xfId="0" applyAlignment="1" applyBorder="1" applyFill="1" applyFont="1" applyNumberFormat="1">
      <alignment horizontal="center" vertical="center"/>
    </xf>
    <xf borderId="1" fillId="10" fontId="1" numFmtId="10" xfId="0" applyAlignment="1" applyBorder="1" applyFont="1" applyNumberFormat="1">
      <alignment horizontal="center" vertical="center"/>
    </xf>
    <xf borderId="20" fillId="10" fontId="1" numFmtId="10" xfId="0" applyAlignment="1" applyBorder="1" applyFont="1" applyNumberFormat="1">
      <alignment horizontal="center" vertical="center"/>
    </xf>
    <xf borderId="1" fillId="10" fontId="1" numFmtId="10" xfId="0" applyBorder="1" applyFont="1" applyNumberFormat="1"/>
    <xf borderId="20" fillId="10" fontId="1" numFmtId="10" xfId="0" applyBorder="1" applyFont="1" applyNumberFormat="1"/>
    <xf borderId="21" fillId="10" fontId="1" numFmtId="10" xfId="0" applyAlignment="1" applyBorder="1" applyFont="1" applyNumberFormat="1">
      <alignment horizontal="center"/>
    </xf>
    <xf borderId="1" fillId="10" fontId="1" numFmtId="10" xfId="0" applyAlignment="1" applyBorder="1" applyFont="1" applyNumberFormat="1">
      <alignment horizontal="center"/>
    </xf>
    <xf borderId="20" fillId="10" fontId="1" numFmtId="10" xfId="0" applyAlignment="1" applyBorder="1" applyFont="1" applyNumberFormat="1">
      <alignment horizontal="center"/>
    </xf>
    <xf borderId="1" fillId="10" fontId="13" numFmtId="10" xfId="0" applyBorder="1" applyFont="1" applyNumberFormat="1"/>
    <xf borderId="20" fillId="10" fontId="13" numFmtId="10" xfId="0" applyBorder="1" applyFont="1" applyNumberFormat="1"/>
    <xf borderId="25" fillId="10" fontId="1" numFmtId="10" xfId="0" applyAlignment="1" applyBorder="1" applyFont="1" applyNumberFormat="1">
      <alignment horizontal="center" vertical="center"/>
    </xf>
    <xf borderId="26" fillId="10" fontId="1" numFmtId="10" xfId="0" applyAlignment="1" applyBorder="1" applyFont="1" applyNumberFormat="1">
      <alignment horizontal="center" vertical="center"/>
    </xf>
    <xf borderId="27" fillId="10" fontId="1" numFmtId="10" xfId="0" applyAlignment="1" applyBorder="1" applyFont="1" applyNumberFormat="1">
      <alignment horizontal="center" vertical="center"/>
    </xf>
    <xf borderId="26" fillId="10" fontId="1" numFmtId="10" xfId="0" applyBorder="1" applyFont="1" applyNumberFormat="1"/>
    <xf borderId="27" fillId="10" fontId="1" numFmtId="10" xfId="0" applyBorder="1" applyFont="1" applyNumberFormat="1"/>
    <xf borderId="0" fillId="0" fontId="8" numFmtId="0" xfId="0" applyAlignment="1" applyFont="1">
      <alignment horizontal="center" vertical="center"/>
    </xf>
    <xf borderId="15" fillId="3" fontId="8" numFmtId="0" xfId="0" applyBorder="1" applyFont="1"/>
    <xf borderId="0" fillId="0" fontId="8" numFmtId="0" xfId="0" applyAlignment="1" applyFont="1">
      <alignment horizontal="center"/>
    </xf>
    <xf borderId="0" fillId="0" fontId="9" numFmtId="3" xfId="0" applyAlignment="1" applyFont="1" applyNumberFormat="1">
      <alignment horizontal="center"/>
    </xf>
    <xf borderId="1" fillId="4" fontId="1" numFmtId="0" xfId="0" applyAlignment="1" applyBorder="1" applyFont="1">
      <alignment shrinkToFit="0" vertical="center" wrapText="1"/>
    </xf>
    <xf borderId="25" fillId="5" fontId="1" numFmtId="10" xfId="0" applyAlignment="1" applyBorder="1" applyFont="1" applyNumberFormat="1">
      <alignment horizontal="center"/>
    </xf>
    <xf borderId="27" fillId="5" fontId="1" numFmtId="10" xfId="0" applyAlignment="1" applyBorder="1" applyFont="1" applyNumberFormat="1">
      <alignment horizontal="center"/>
    </xf>
    <xf borderId="0" fillId="0" fontId="1" numFmtId="10" xfId="0" applyAlignment="1" applyFont="1" applyNumberFormat="1">
      <alignment horizontal="center"/>
    </xf>
    <xf borderId="0" fillId="0" fontId="1" numFmtId="0" xfId="0" applyAlignment="1" applyFont="1">
      <alignment shrinkToFit="0" vertical="center" wrapText="1"/>
    </xf>
    <xf borderId="0" fillId="0" fontId="10" numFmtId="170" xfId="0" applyAlignment="1" applyFont="1" applyNumberFormat="1">
      <alignment horizontal="right"/>
    </xf>
    <xf borderId="13" fillId="3" fontId="9" numFmtId="3" xfId="0" applyAlignment="1" applyBorder="1" applyFont="1" applyNumberFormat="1">
      <alignment horizontal="center"/>
    </xf>
    <xf borderId="14" fillId="3" fontId="8" numFmtId="0" xfId="0" applyAlignment="1" applyBorder="1" applyFont="1">
      <alignment horizontal="center"/>
    </xf>
    <xf borderId="15" fillId="3" fontId="8" numFmtId="0" xfId="0" applyAlignment="1" applyBorder="1" applyFont="1">
      <alignment horizontal="center"/>
    </xf>
    <xf borderId="21" fillId="5" fontId="1" numFmtId="10" xfId="0" applyAlignment="1" applyBorder="1" applyFont="1" applyNumberFormat="1">
      <alignment horizontal="center"/>
    </xf>
    <xf borderId="1" fillId="5" fontId="1" numFmtId="10" xfId="0" applyAlignment="1" applyBorder="1" applyFont="1" applyNumberFormat="1">
      <alignment horizontal="center"/>
    </xf>
    <xf borderId="20" fillId="5" fontId="1" numFmtId="10" xfId="0" applyAlignment="1" applyBorder="1" applyFont="1" applyNumberFormat="1">
      <alignment horizontal="center"/>
    </xf>
    <xf borderId="0" fillId="0" fontId="1" numFmtId="166" xfId="0" applyFont="1" applyNumberFormat="1"/>
    <xf borderId="0" fillId="0" fontId="1" numFmtId="0" xfId="0" applyAlignment="1" applyFont="1">
      <alignment vertical="center"/>
    </xf>
    <xf borderId="26" fillId="5" fontId="1" numFmtId="10" xfId="0" applyAlignment="1" applyBorder="1" applyFont="1" applyNumberFormat="1">
      <alignment horizontal="center"/>
    </xf>
    <xf borderId="0" fillId="0" fontId="17" numFmtId="0" xfId="0" applyAlignment="1" applyFont="1">
      <alignment shrinkToFit="0" vertical="center" wrapText="1"/>
    </xf>
    <xf borderId="0" fillId="0" fontId="8" numFmtId="0" xfId="0" applyAlignment="1" applyFont="1">
      <alignment shrinkToFit="0" vertical="center" wrapText="1"/>
    </xf>
    <xf borderId="13" fillId="3" fontId="8" numFmtId="0" xfId="0" applyAlignment="1" applyBorder="1" applyFont="1">
      <alignment shrinkToFit="0" vertical="center" wrapText="1"/>
    </xf>
    <xf borderId="37" fillId="3" fontId="8" numFmtId="0" xfId="0" applyAlignment="1" applyBorder="1" applyFont="1">
      <alignment horizontal="center" shrinkToFit="0" wrapText="1"/>
    </xf>
    <xf borderId="38" fillId="0" fontId="3" numFmtId="0" xfId="0" applyBorder="1" applyFont="1"/>
    <xf borderId="1" fillId="5" fontId="1" numFmtId="0" xfId="0" applyAlignment="1" applyBorder="1" applyFont="1">
      <alignment shrinkToFit="0" vertical="center" wrapText="1"/>
    </xf>
    <xf borderId="21" fillId="5" fontId="10" numFmtId="170" xfId="0" applyAlignment="1" applyBorder="1" applyFont="1" applyNumberFormat="1">
      <alignment horizontal="center"/>
    </xf>
    <xf borderId="1" fillId="5" fontId="10" numFmtId="170" xfId="0" applyAlignment="1" applyBorder="1" applyFont="1" applyNumberFormat="1">
      <alignment horizontal="center"/>
    </xf>
    <xf borderId="20" fillId="5" fontId="10" numFmtId="170" xfId="0" applyAlignment="1" applyBorder="1" applyFont="1" applyNumberFormat="1">
      <alignment horizontal="center"/>
    </xf>
    <xf borderId="21" fillId="5" fontId="10" numFmtId="1" xfId="0" applyAlignment="1" applyBorder="1" applyFont="1" applyNumberFormat="1">
      <alignment horizontal="center"/>
    </xf>
    <xf borderId="1" fillId="5" fontId="10" numFmtId="1" xfId="0" applyAlignment="1" applyBorder="1" applyFont="1" applyNumberFormat="1">
      <alignment horizontal="center"/>
    </xf>
    <xf borderId="20" fillId="5" fontId="10" numFmtId="1" xfId="0" applyAlignment="1" applyBorder="1" applyFont="1" applyNumberFormat="1">
      <alignment horizontal="center"/>
    </xf>
    <xf borderId="19" fillId="5" fontId="1" numFmtId="9" xfId="0" applyAlignment="1" applyBorder="1" applyFont="1" applyNumberFormat="1">
      <alignment horizontal="center"/>
    </xf>
    <xf borderId="1" fillId="5" fontId="1" numFmtId="0" xfId="0" applyBorder="1" applyFont="1"/>
    <xf borderId="1" fillId="5" fontId="8" numFmtId="0" xfId="0" applyAlignment="1" applyBorder="1" applyFont="1">
      <alignment shrinkToFit="0" vertical="center" wrapText="1"/>
    </xf>
    <xf borderId="25" fillId="5" fontId="8" numFmtId="0" xfId="0" applyBorder="1" applyFont="1"/>
    <xf borderId="26" fillId="5" fontId="8" numFmtId="0" xfId="0" applyBorder="1" applyFont="1"/>
    <xf borderId="27" fillId="5" fontId="8" numFmtId="0" xfId="0" applyBorder="1" applyFont="1"/>
    <xf borderId="25" fillId="5" fontId="8" numFmtId="1" xfId="0" applyAlignment="1" applyBorder="1" applyFont="1" applyNumberFormat="1">
      <alignment horizontal="center" vertical="center"/>
    </xf>
    <xf borderId="26" fillId="5" fontId="8" numFmtId="1" xfId="0" applyAlignment="1" applyBorder="1" applyFont="1" applyNumberFormat="1">
      <alignment horizontal="center" vertical="center"/>
    </xf>
    <xf borderId="27" fillId="5" fontId="8" numFmtId="1" xfId="0" applyAlignment="1" applyBorder="1" applyFont="1" applyNumberFormat="1">
      <alignment horizontal="center" vertical="center"/>
    </xf>
    <xf borderId="28" fillId="5" fontId="1" numFmtId="0" xfId="0" applyAlignment="1" applyBorder="1" applyFont="1">
      <alignment horizontal="center"/>
    </xf>
    <xf borderId="0" fillId="0" fontId="10" numFmtId="170" xfId="0" applyFont="1" applyNumberFormat="1"/>
    <xf borderId="21" fillId="10" fontId="1" numFmtId="9" xfId="0" applyAlignment="1" applyBorder="1" applyFont="1" applyNumberFormat="1">
      <alignment horizontal="center"/>
    </xf>
    <xf borderId="1" fillId="10" fontId="1" numFmtId="9" xfId="0" applyAlignment="1" applyBorder="1" applyFont="1" applyNumberFormat="1">
      <alignment horizontal="center"/>
    </xf>
    <xf borderId="20" fillId="10" fontId="1" numFmtId="9" xfId="0" applyAlignment="1" applyBorder="1" applyFont="1" applyNumberFormat="1">
      <alignment horizontal="center"/>
    </xf>
    <xf borderId="0" fillId="0" fontId="17" numFmtId="0" xfId="0" applyFont="1"/>
    <xf borderId="0" fillId="0" fontId="18" numFmtId="170" xfId="0" applyFont="1" applyNumberFormat="1"/>
    <xf borderId="25" fillId="5" fontId="8" numFmtId="9" xfId="0" applyAlignment="1" applyBorder="1" applyFont="1" applyNumberFormat="1">
      <alignment horizontal="center" vertical="top"/>
    </xf>
    <xf borderId="26" fillId="5" fontId="8" numFmtId="9" xfId="0" applyAlignment="1" applyBorder="1" applyFont="1" applyNumberFormat="1">
      <alignment horizontal="center" vertical="top"/>
    </xf>
    <xf borderId="27" fillId="5" fontId="8" numFmtId="9" xfId="0" applyAlignment="1" applyBorder="1" applyFont="1" applyNumberFormat="1">
      <alignment horizontal="center" vertical="top"/>
    </xf>
    <xf borderId="1" fillId="3" fontId="8" numFmtId="0" xfId="0" applyAlignment="1" applyBorder="1" applyFont="1">
      <alignment horizontal="left" shrinkToFit="0" vertical="center" wrapText="1"/>
    </xf>
    <xf borderId="29" fillId="3" fontId="8" numFmtId="0" xfId="0" applyAlignment="1" applyBorder="1" applyFont="1">
      <alignment horizontal="center" shrinkToFit="0" vertical="center" wrapText="1"/>
    </xf>
    <xf borderId="29" fillId="3" fontId="8" numFmtId="0" xfId="0" applyAlignment="1" applyBorder="1" applyFont="1">
      <alignment horizontal="center" vertical="center"/>
    </xf>
    <xf borderId="16" fillId="3" fontId="8" numFmtId="0" xfId="0" applyAlignment="1" applyBorder="1" applyFont="1">
      <alignment horizontal="center" shrinkToFit="0" vertical="center" wrapText="1"/>
    </xf>
    <xf borderId="21" fillId="5" fontId="8" numFmtId="0" xfId="0" applyAlignment="1" applyBorder="1" applyFont="1">
      <alignment horizontal="center" vertical="center"/>
    </xf>
    <xf borderId="1" fillId="5" fontId="8" numFmtId="0" xfId="0" applyAlignment="1" applyBorder="1" applyFont="1">
      <alignment horizontal="center" vertical="center"/>
    </xf>
    <xf borderId="20" fillId="5" fontId="8" numFmtId="0" xfId="0" applyAlignment="1" applyBorder="1" applyFont="1">
      <alignment horizontal="center" vertical="center"/>
    </xf>
    <xf borderId="19" fillId="5" fontId="1" numFmtId="0" xfId="0" applyBorder="1" applyFont="1"/>
    <xf borderId="1" fillId="4" fontId="8" numFmtId="0" xfId="0" applyAlignment="1" applyBorder="1" applyFont="1">
      <alignment horizontal="left" shrinkToFit="0" wrapText="1"/>
    </xf>
    <xf borderId="25" fillId="5" fontId="1" numFmtId="1" xfId="0" applyAlignment="1" applyBorder="1" applyFont="1" applyNumberFormat="1">
      <alignment horizontal="center" vertical="center"/>
    </xf>
    <xf borderId="26" fillId="5" fontId="1" numFmtId="1" xfId="0" applyAlignment="1" applyBorder="1" applyFont="1" applyNumberFormat="1">
      <alignment horizontal="center" vertical="center"/>
    </xf>
    <xf borderId="27" fillId="5" fontId="1" numFmtId="1" xfId="0" applyAlignment="1" applyBorder="1" applyFont="1" applyNumberFormat="1">
      <alignment horizontal="center" vertical="center"/>
    </xf>
    <xf borderId="28" fillId="5" fontId="1" numFmtId="0" xfId="0" applyAlignment="1" applyBorder="1" applyFont="1">
      <alignment horizontal="center" vertical="center"/>
    </xf>
    <xf borderId="16" fillId="3" fontId="8" numFmtId="0" xfId="0" applyBorder="1" applyFont="1"/>
    <xf borderId="19" fillId="4" fontId="1" numFmtId="0" xfId="0" applyBorder="1" applyFont="1"/>
    <xf borderId="25" fillId="5" fontId="1" numFmtId="170" xfId="0" applyAlignment="1" applyBorder="1" applyFont="1" applyNumberFormat="1">
      <alignment horizontal="center"/>
    </xf>
    <xf borderId="26" fillId="5" fontId="1" numFmtId="170" xfId="0" applyAlignment="1" applyBorder="1" applyFont="1" applyNumberFormat="1">
      <alignment horizontal="center"/>
    </xf>
    <xf borderId="27" fillId="5" fontId="1" numFmtId="170" xfId="0" applyAlignment="1" applyBorder="1" applyFont="1" applyNumberFormat="1">
      <alignment horizontal="center"/>
    </xf>
    <xf borderId="1" fillId="5" fontId="8" numFmtId="0" xfId="0" applyAlignment="1" applyBorder="1" applyFont="1">
      <alignment vertical="center"/>
    </xf>
    <xf borderId="10" fillId="5" fontId="1" numFmtId="0" xfId="0" applyAlignment="1" applyBorder="1" applyFont="1">
      <alignment shrinkToFit="0" vertical="center" wrapText="1"/>
    </xf>
    <xf borderId="1" fillId="5" fontId="1" numFmtId="0" xfId="0" applyAlignment="1" applyBorder="1" applyFont="1">
      <alignment vertical="center"/>
    </xf>
    <xf borderId="10" fillId="5" fontId="1" numFmtId="0" xfId="0" applyAlignment="1" applyBorder="1" applyFont="1">
      <alignment horizontal="left" shrinkToFit="0" vertical="center" wrapText="1"/>
    </xf>
    <xf borderId="0" fillId="0" fontId="1" numFmtId="0" xfId="0" applyAlignment="1" applyFont="1">
      <alignment horizontal="left" shrinkToFit="0" vertical="center" wrapText="1"/>
    </xf>
    <xf borderId="13" fillId="11" fontId="8" numFmtId="0" xfId="0" applyAlignment="1" applyBorder="1" applyFill="1" applyFont="1">
      <alignment horizontal="left" shrinkToFit="0" vertical="center" wrapText="1"/>
    </xf>
    <xf borderId="14" fillId="11" fontId="1" numFmtId="0" xfId="0" applyBorder="1" applyFont="1"/>
    <xf borderId="15" fillId="11" fontId="1" numFmtId="0" xfId="0" applyBorder="1" applyFont="1"/>
    <xf borderId="21" fillId="11" fontId="1" numFmtId="0" xfId="0" applyAlignment="1" applyBorder="1" applyFont="1">
      <alignment horizontal="left" shrinkToFit="0" vertical="center" wrapText="1"/>
    </xf>
    <xf borderId="1" fillId="11" fontId="1" numFmtId="0" xfId="0" applyAlignment="1" applyBorder="1" applyFont="1">
      <alignment horizontal="center"/>
    </xf>
    <xf borderId="1" fillId="11" fontId="1" numFmtId="0" xfId="0" applyAlignment="1" applyBorder="1" applyFont="1">
      <alignment horizontal="center" shrinkToFit="0" wrapText="1"/>
    </xf>
    <xf borderId="20" fillId="11" fontId="1" numFmtId="0" xfId="0" applyAlignment="1" applyBorder="1" applyFont="1">
      <alignment horizontal="center"/>
    </xf>
    <xf borderId="19" fillId="2" fontId="1" numFmtId="0" xfId="0" applyAlignment="1" applyBorder="1" applyFont="1">
      <alignment horizontal="left" shrinkToFit="0" vertical="center" wrapText="1"/>
    </xf>
    <xf borderId="39" fillId="0" fontId="1" numFmtId="0" xfId="0" applyAlignment="1" applyBorder="1" applyFont="1">
      <alignment horizontal="center"/>
    </xf>
    <xf borderId="40" fillId="0" fontId="1" numFmtId="0" xfId="0" applyBorder="1" applyFont="1"/>
    <xf borderId="40" fillId="0" fontId="1" numFmtId="0" xfId="0" applyAlignment="1" applyBorder="1" applyFont="1">
      <alignment horizontal="center" shrinkToFit="0" wrapText="1"/>
    </xf>
    <xf borderId="40" fillId="0" fontId="1" numFmtId="0" xfId="0" applyAlignment="1" applyBorder="1" applyFont="1">
      <alignment horizontal="center"/>
    </xf>
    <xf borderId="41" fillId="0" fontId="1" numFmtId="0" xfId="0" applyAlignment="1" applyBorder="1" applyFont="1">
      <alignment horizontal="center" shrinkToFit="0" wrapText="1"/>
    </xf>
    <xf borderId="0" fillId="0" fontId="11" numFmtId="0" xfId="0" applyAlignment="1" applyFont="1">
      <alignment horizontal="center"/>
    </xf>
    <xf borderId="0" fillId="0" fontId="19" numFmtId="0" xfId="0" applyFont="1"/>
    <xf borderId="0" fillId="0" fontId="1" numFmtId="0" xfId="0" applyAlignment="1" applyFont="1">
      <alignment horizontal="center" shrinkToFit="0" wrapText="1"/>
    </xf>
    <xf borderId="1" fillId="10" fontId="1" numFmtId="0" xfId="0" applyAlignment="1" applyBorder="1" applyFont="1">
      <alignment horizontal="center"/>
    </xf>
    <xf borderId="20" fillId="5" fontId="1" numFmtId="0" xfId="0" applyAlignment="1" applyBorder="1" applyFont="1">
      <alignment horizontal="center"/>
    </xf>
    <xf borderId="19" fillId="2" fontId="1" numFmtId="0" xfId="0" applyAlignment="1" applyBorder="1" applyFont="1">
      <alignment shrinkToFit="0" vertical="center" wrapText="1"/>
    </xf>
    <xf borderId="21" fillId="10" fontId="1" numFmtId="171" xfId="0" applyAlignment="1" applyBorder="1" applyFont="1" applyNumberFormat="1">
      <alignment horizontal="center"/>
    </xf>
    <xf borderId="1" fillId="10" fontId="1" numFmtId="171" xfId="0" applyAlignment="1" applyBorder="1" applyFont="1" applyNumberFormat="1">
      <alignment horizontal="center"/>
    </xf>
    <xf borderId="0" fillId="0" fontId="19" numFmtId="171" xfId="0" applyFont="1" applyNumberFormat="1"/>
    <xf borderId="19" fillId="2" fontId="8" numFmtId="0" xfId="0" applyAlignment="1" applyBorder="1" applyFont="1">
      <alignment horizontal="left" shrinkToFit="0" vertical="center" wrapText="1"/>
    </xf>
    <xf borderId="21" fillId="5" fontId="1" numFmtId="171" xfId="0" applyAlignment="1" applyBorder="1" applyFont="1" applyNumberFormat="1">
      <alignment horizontal="center"/>
    </xf>
    <xf borderId="0" fillId="0" fontId="20" numFmtId="0" xfId="0" applyAlignment="1" applyFont="1">
      <alignment horizontal="center"/>
    </xf>
    <xf borderId="19" fillId="2" fontId="8" numFmtId="0" xfId="0" applyAlignment="1" applyBorder="1" applyFont="1">
      <alignment shrinkToFit="0" vertical="center" wrapText="1"/>
    </xf>
    <xf borderId="0" fillId="0" fontId="1" numFmtId="171" xfId="0" applyAlignment="1" applyFont="1" applyNumberFormat="1">
      <alignment horizontal="center"/>
    </xf>
    <xf borderId="1" fillId="5" fontId="1" numFmtId="171" xfId="0" applyAlignment="1" applyBorder="1" applyFont="1" applyNumberFormat="1">
      <alignment horizontal="center"/>
    </xf>
    <xf borderId="0" fillId="0" fontId="11" numFmtId="171" xfId="0" applyFont="1" applyNumberFormat="1"/>
    <xf borderId="1" fillId="10" fontId="1" numFmtId="2" xfId="0" applyAlignment="1" applyBorder="1" applyFont="1" applyNumberFormat="1">
      <alignment horizontal="center"/>
    </xf>
    <xf borderId="0" fillId="0" fontId="11" numFmtId="2" xfId="0" applyFont="1" applyNumberFormat="1"/>
    <xf borderId="28" fillId="2" fontId="21" numFmtId="0" xfId="0" applyAlignment="1" applyBorder="1" applyFont="1">
      <alignment shrinkToFit="0" vertical="center" wrapText="1"/>
    </xf>
    <xf borderId="35" fillId="0" fontId="1" numFmtId="171" xfId="0" applyAlignment="1" applyBorder="1" applyFont="1" applyNumberFormat="1">
      <alignment horizontal="center"/>
    </xf>
    <xf borderId="0" fillId="0" fontId="21" numFmtId="0" xfId="0" applyAlignment="1" applyFont="1">
      <alignment shrinkToFit="0" vertical="center" wrapText="1"/>
    </xf>
    <xf borderId="0" fillId="0" fontId="1" numFmtId="171" xfId="0" applyFont="1" applyNumberFormat="1"/>
    <xf borderId="13" fillId="11" fontId="1" numFmtId="0" xfId="0" applyAlignment="1" applyBorder="1" applyFont="1">
      <alignment shrinkToFit="0" vertical="center" wrapText="1"/>
    </xf>
    <xf borderId="42" fillId="11" fontId="1" numFmtId="0" xfId="0" applyAlignment="1" applyBorder="1" applyFont="1">
      <alignment horizontal="center" vertical="center"/>
    </xf>
    <xf borderId="43" fillId="11" fontId="1" numFmtId="0" xfId="0" applyAlignment="1" applyBorder="1" applyFont="1">
      <alignment horizontal="center" vertical="center"/>
    </xf>
    <xf borderId="44" fillId="11" fontId="1" numFmtId="0" xfId="0" applyAlignment="1" applyBorder="1" applyFont="1">
      <alignment horizontal="center" vertical="center"/>
    </xf>
    <xf borderId="13" fillId="2" fontId="1" numFmtId="0" xfId="0" applyAlignment="1" applyBorder="1" applyFont="1">
      <alignment shrinkToFit="0" vertical="center" wrapText="1"/>
    </xf>
    <xf borderId="39" fillId="0" fontId="1" numFmtId="166" xfId="0" applyAlignment="1" applyBorder="1" applyFont="1" applyNumberFormat="1">
      <alignment horizontal="center"/>
    </xf>
    <xf borderId="40" fillId="0" fontId="1" numFmtId="166" xfId="0" applyAlignment="1" applyBorder="1" applyFont="1" applyNumberFormat="1">
      <alignment horizontal="center"/>
    </xf>
    <xf borderId="41" fillId="0" fontId="1" numFmtId="166" xfId="0" applyAlignment="1" applyBorder="1" applyFont="1" applyNumberFormat="1">
      <alignment horizontal="center"/>
    </xf>
    <xf borderId="25" fillId="2" fontId="1" numFmtId="0" xfId="0" applyAlignment="1" applyBorder="1" applyFont="1">
      <alignment shrinkToFit="0" vertical="center" wrapText="1"/>
    </xf>
    <xf borderId="35" fillId="0" fontId="1" numFmtId="166" xfId="0" applyAlignment="1" applyBorder="1" applyFont="1" applyNumberFormat="1">
      <alignment horizontal="center"/>
    </xf>
    <xf borderId="33" fillId="0" fontId="1" numFmtId="166" xfId="0" applyAlignment="1" applyBorder="1" applyFont="1" applyNumberFormat="1">
      <alignment horizontal="center"/>
    </xf>
    <xf borderId="36" fillId="0" fontId="1" numFmtId="166" xfId="0" applyAlignment="1" applyBorder="1" applyFont="1" applyNumberFormat="1">
      <alignment horizontal="center"/>
    </xf>
    <xf borderId="13" fillId="2" fontId="22" numFmtId="0" xfId="0" applyAlignment="1" applyBorder="1" applyFont="1">
      <alignment shrinkToFit="0" vertical="center" wrapText="1"/>
    </xf>
    <xf borderId="13" fillId="2" fontId="1" numFmtId="0" xfId="0" applyBorder="1" applyFont="1"/>
    <xf borderId="14" fillId="2" fontId="1" numFmtId="0" xfId="0" applyBorder="1" applyFont="1"/>
    <xf borderId="15" fillId="2" fontId="1" numFmtId="0" xfId="0" applyBorder="1" applyFont="1"/>
    <xf borderId="25" fillId="2" fontId="1" numFmtId="0" xfId="0" applyAlignment="1" applyBorder="1" applyFont="1">
      <alignment shrinkToFit="0" wrapText="1"/>
    </xf>
    <xf borderId="26" fillId="2" fontId="1" numFmtId="0" xfId="0" applyAlignment="1" applyBorder="1" applyFont="1">
      <alignment shrinkToFit="0" wrapText="1"/>
    </xf>
    <xf borderId="27" fillId="2" fontId="1" numFmtId="0" xfId="0" applyAlignment="1" applyBorder="1" applyFont="1">
      <alignment shrinkToFit="0" wrapText="1"/>
    </xf>
    <xf borderId="21" fillId="2" fontId="1" numFmtId="0" xfId="0" applyBorder="1" applyFont="1"/>
    <xf borderId="21" fillId="10" fontId="1" numFmtId="170" xfId="0" applyBorder="1" applyFont="1" applyNumberFormat="1"/>
    <xf borderId="20" fillId="10" fontId="1" numFmtId="170" xfId="0" applyBorder="1" applyFont="1" applyNumberFormat="1"/>
    <xf borderId="21" fillId="5" fontId="1" numFmtId="170" xfId="0" applyBorder="1" applyFont="1" applyNumberFormat="1"/>
    <xf borderId="1" fillId="5" fontId="1" numFmtId="166" xfId="0" applyBorder="1" applyFont="1" applyNumberFormat="1"/>
    <xf borderId="20" fillId="5" fontId="1" numFmtId="170" xfId="0" applyBorder="1" applyFont="1" applyNumberFormat="1"/>
    <xf borderId="25" fillId="2" fontId="1" numFmtId="0" xfId="0" applyBorder="1" applyFont="1"/>
    <xf borderId="25" fillId="10" fontId="1" numFmtId="170" xfId="0" applyBorder="1" applyFont="1" applyNumberFormat="1"/>
    <xf borderId="26" fillId="5" fontId="1" numFmtId="166" xfId="0" applyBorder="1" applyFont="1" applyNumberFormat="1"/>
    <xf borderId="27" fillId="10" fontId="1" numFmtId="170" xfId="0" applyBorder="1" applyFont="1" applyNumberFormat="1"/>
    <xf borderId="14" fillId="2" fontId="8" numFmtId="171" xfId="0" applyBorder="1" applyFont="1" applyNumberFormat="1"/>
    <xf borderId="14" fillId="2" fontId="8" numFmtId="0" xfId="0" applyBorder="1" applyFont="1"/>
    <xf borderId="15" fillId="2" fontId="8" numFmtId="0" xfId="0" applyBorder="1" applyFont="1"/>
    <xf borderId="21" fillId="2" fontId="22" numFmtId="0" xfId="0" applyAlignment="1" applyBorder="1" applyFont="1">
      <alignment horizontal="right" shrinkToFit="0" vertical="center" wrapText="1"/>
    </xf>
    <xf borderId="1" fillId="2" fontId="8" numFmtId="171" xfId="0" applyAlignment="1" applyBorder="1" applyFont="1" applyNumberFormat="1">
      <alignment shrinkToFit="0" vertical="center" wrapText="1"/>
    </xf>
    <xf borderId="1" fillId="2" fontId="8" numFmtId="171" xfId="0" applyAlignment="1" applyBorder="1" applyFont="1" applyNumberFormat="1">
      <alignment shrinkToFit="0" wrapText="1"/>
    </xf>
    <xf borderId="20" fillId="2" fontId="8" numFmtId="171" xfId="0" applyAlignment="1" applyBorder="1" applyFont="1" applyNumberFormat="1">
      <alignment shrinkToFit="0" wrapText="1"/>
    </xf>
    <xf borderId="21" fillId="2" fontId="21" numFmtId="0" xfId="0" applyAlignment="1" applyBorder="1" applyFont="1">
      <alignment shrinkToFit="0" vertical="center" wrapText="1"/>
    </xf>
    <xf borderId="1" fillId="2" fontId="1" numFmtId="171" xfId="0" applyBorder="1" applyFont="1" applyNumberFormat="1"/>
    <xf borderId="20" fillId="2" fontId="1" numFmtId="0" xfId="0" applyBorder="1" applyFont="1"/>
    <xf borderId="21" fillId="2" fontId="21" numFmtId="0" xfId="0" applyAlignment="1" applyBorder="1" applyFont="1">
      <alignment horizontal="right" shrinkToFit="0" vertical="center" wrapText="1"/>
    </xf>
    <xf borderId="13" fillId="10" fontId="1" numFmtId="170" xfId="0" applyBorder="1" applyFont="1" applyNumberFormat="1"/>
    <xf borderId="14" fillId="10" fontId="1" numFmtId="170" xfId="0" applyBorder="1" applyFont="1" applyNumberFormat="1"/>
    <xf borderId="13" fillId="5" fontId="1" numFmtId="170" xfId="0" applyBorder="1" applyFont="1" applyNumberFormat="1"/>
    <xf borderId="14" fillId="5" fontId="1" numFmtId="170" xfId="0" applyBorder="1" applyFont="1" applyNumberFormat="1"/>
    <xf borderId="15" fillId="5" fontId="1" numFmtId="170" xfId="0" applyBorder="1" applyFont="1" applyNumberFormat="1"/>
    <xf borderId="1" fillId="10" fontId="1" numFmtId="170" xfId="0" applyBorder="1" applyFont="1" applyNumberFormat="1"/>
    <xf borderId="1" fillId="5" fontId="1" numFmtId="170" xfId="0" applyBorder="1" applyFont="1" applyNumberFormat="1"/>
    <xf borderId="26" fillId="10" fontId="1" numFmtId="170" xfId="0" applyBorder="1" applyFont="1" applyNumberFormat="1"/>
    <xf borderId="25" fillId="5" fontId="1" numFmtId="170" xfId="0" applyBorder="1" applyFont="1" applyNumberFormat="1"/>
    <xf borderId="26" fillId="5" fontId="1" numFmtId="170" xfId="0" applyBorder="1" applyFont="1" applyNumberFormat="1"/>
    <xf borderId="27" fillId="5" fontId="8" numFmtId="170" xfId="0" applyBorder="1" applyFont="1" applyNumberFormat="1"/>
    <xf borderId="25" fillId="2" fontId="21" numFmtId="0" xfId="0" applyAlignment="1" applyBorder="1" applyFont="1">
      <alignment horizontal="right" shrinkToFit="0" vertical="center" wrapText="1"/>
    </xf>
    <xf borderId="25" fillId="10" fontId="1" numFmtId="171" xfId="0" applyBorder="1" applyFont="1" applyNumberFormat="1"/>
    <xf borderId="26" fillId="10" fontId="1" numFmtId="171" xfId="0" applyBorder="1" applyFont="1" applyNumberFormat="1"/>
    <xf borderId="26" fillId="10" fontId="1" numFmtId="0" xfId="0" applyBorder="1" applyFont="1"/>
    <xf borderId="25" fillId="5" fontId="1" numFmtId="0" xfId="0" applyBorder="1" applyFont="1"/>
    <xf borderId="26" fillId="5" fontId="1" numFmtId="0" xfId="0" applyBorder="1" applyFont="1"/>
    <xf borderId="22" fillId="0" fontId="1" numFmtId="0" xfId="0" applyAlignment="1" applyBorder="1" applyFont="1">
      <alignment shrinkToFit="0" vertical="center" wrapText="1"/>
    </xf>
    <xf borderId="45" fillId="2" fontId="8" numFmtId="0" xfId="0" applyAlignment="1" applyBorder="1" applyFont="1">
      <alignment shrinkToFit="0" vertical="center" wrapText="1"/>
    </xf>
    <xf borderId="13" fillId="2" fontId="1" numFmtId="0" xfId="0" applyAlignment="1" applyBorder="1" applyFont="1">
      <alignment horizontal="center"/>
    </xf>
    <xf borderId="14" fillId="2" fontId="1" numFmtId="0" xfId="0" applyAlignment="1" applyBorder="1" applyFont="1">
      <alignment horizontal="center"/>
    </xf>
    <xf borderId="15" fillId="2" fontId="1" numFmtId="0" xfId="0" applyAlignment="1" applyBorder="1" applyFont="1">
      <alignment horizontal="center"/>
    </xf>
    <xf borderId="21" fillId="2" fontId="1" numFmtId="0" xfId="0" applyAlignment="1" applyBorder="1" applyFont="1">
      <alignment shrinkToFit="0" vertical="center" wrapText="1"/>
    </xf>
    <xf borderId="16" fillId="2" fontId="1" numFmtId="0" xfId="0" applyAlignment="1" applyBorder="1" applyFont="1">
      <alignment shrinkToFit="0" vertical="center" wrapText="1"/>
    </xf>
    <xf borderId="28" fillId="2" fontId="1" numFmtId="0" xfId="0" applyAlignment="1" applyBorder="1" applyFont="1">
      <alignment shrinkToFit="0" vertical="center" wrapText="1"/>
    </xf>
    <xf borderId="1" fillId="4" fontId="1" numFmtId="3" xfId="0" applyAlignment="1" applyBorder="1" applyFont="1" applyNumberFormat="1">
      <alignment horizontal="right"/>
    </xf>
    <xf borderId="0" fillId="0" fontId="1" numFmtId="3" xfId="0" applyAlignment="1" applyFont="1" applyNumberFormat="1">
      <alignment horizontal="right"/>
    </xf>
    <xf borderId="13" fillId="3" fontId="8" numFmtId="3" xfId="0" applyAlignment="1" applyBorder="1" applyFont="1" applyNumberFormat="1">
      <alignment horizontal="center"/>
    </xf>
    <xf borderId="14" fillId="3" fontId="8" numFmtId="3" xfId="0" applyAlignment="1" applyBorder="1" applyFont="1" applyNumberFormat="1">
      <alignment horizontal="center"/>
    </xf>
    <xf borderId="1" fillId="5" fontId="1" numFmtId="3" xfId="0" applyAlignment="1" applyBorder="1" applyFont="1" applyNumberFormat="1">
      <alignment horizontal="center"/>
    </xf>
    <xf borderId="20" fillId="5" fontId="1" numFmtId="3" xfId="0" applyAlignment="1" applyBorder="1" applyFont="1" applyNumberFormat="1">
      <alignment horizontal="center"/>
    </xf>
    <xf borderId="26" fillId="5" fontId="1" numFmtId="3" xfId="0" applyAlignment="1" applyBorder="1" applyFont="1" applyNumberFormat="1">
      <alignment horizontal="center"/>
    </xf>
    <xf borderId="27" fillId="5" fontId="1" numFmtId="3" xfId="0" applyAlignment="1" applyBorder="1" applyFont="1" applyNumberFormat="1">
      <alignment horizontal="center"/>
    </xf>
    <xf borderId="1" fillId="9" fontId="10" numFmtId="3" xfId="0" applyAlignment="1" applyBorder="1" applyFont="1" applyNumberFormat="1">
      <alignment horizontal="right"/>
    </xf>
    <xf borderId="13" fillId="4" fontId="1" numFmtId="0" xfId="0" applyAlignment="1" applyBorder="1" applyFont="1">
      <alignment shrinkToFit="0" vertical="center" wrapText="1"/>
    </xf>
    <xf borderId="14" fillId="5" fontId="1" numFmtId="9" xfId="0" applyBorder="1" applyFont="1" applyNumberFormat="1"/>
    <xf borderId="41" fillId="0" fontId="1" numFmtId="0" xfId="0" applyBorder="1" applyFont="1"/>
    <xf borderId="21" fillId="4" fontId="1" numFmtId="0" xfId="0" applyAlignment="1" applyBorder="1" applyFont="1">
      <alignment shrinkToFit="0" vertical="center" wrapText="1"/>
    </xf>
    <xf borderId="1" fillId="10" fontId="1" numFmtId="3" xfId="0" applyBorder="1" applyFont="1" applyNumberFormat="1"/>
    <xf borderId="1" fillId="5" fontId="1" numFmtId="9" xfId="0" applyBorder="1" applyFont="1" applyNumberFormat="1"/>
    <xf borderId="25" fillId="4" fontId="1" numFmtId="0" xfId="0" applyAlignment="1" applyBorder="1" applyFont="1">
      <alignment shrinkToFit="0" vertical="center" wrapText="1"/>
    </xf>
    <xf borderId="26" fillId="10" fontId="17" numFmtId="9" xfId="0" applyBorder="1" applyFont="1" applyNumberFormat="1"/>
    <xf borderId="0" fillId="0" fontId="1" numFmtId="9" xfId="0" applyFont="1" applyNumberFormat="1"/>
    <xf borderId="13" fillId="3" fontId="1" numFmtId="0" xfId="0" applyAlignment="1" applyBorder="1" applyFont="1">
      <alignment shrinkToFit="0" vertical="center" wrapText="1"/>
    </xf>
    <xf borderId="45" fillId="3" fontId="1" numFmtId="0" xfId="0" applyAlignment="1" applyBorder="1" applyFont="1">
      <alignment horizontal="center" shrinkToFit="0" vertical="center" wrapText="1"/>
    </xf>
    <xf borderId="45" fillId="4" fontId="1" numFmtId="0" xfId="0" applyAlignment="1" applyBorder="1" applyFont="1">
      <alignment horizontal="center" vertical="center"/>
    </xf>
    <xf borderId="45" fillId="10" fontId="1" numFmtId="9" xfId="0" applyAlignment="1" applyBorder="1" applyFont="1" applyNumberFormat="1">
      <alignment horizontal="center" vertical="center"/>
    </xf>
    <xf borderId="35" fillId="0" fontId="1" numFmtId="0" xfId="0" applyAlignment="1" applyBorder="1" applyFont="1">
      <alignment shrinkToFit="0" vertical="center" wrapText="1"/>
    </xf>
    <xf borderId="1" fillId="3" fontId="1" numFmtId="0" xfId="0" applyAlignment="1" applyBorder="1" applyFont="1">
      <alignment shrinkToFit="0" vertical="center" wrapText="1"/>
    </xf>
    <xf borderId="13" fillId="3" fontId="8" numFmtId="0" xfId="0" applyAlignment="1" applyBorder="1" applyFont="1">
      <alignment horizontal="center"/>
    </xf>
    <xf borderId="21" fillId="10" fontId="17" numFmtId="9" xfId="0" applyAlignment="1" applyBorder="1" applyFont="1" applyNumberFormat="1">
      <alignment horizontal="center"/>
    </xf>
    <xf borderId="1" fillId="10" fontId="17" numFmtId="9" xfId="0" applyAlignment="1" applyBorder="1" applyFont="1" applyNumberFormat="1">
      <alignment horizontal="center"/>
    </xf>
    <xf borderId="20" fillId="10" fontId="17" numFmtId="9" xfId="0" applyAlignment="1" applyBorder="1" applyFont="1" applyNumberFormat="1">
      <alignment horizontal="center"/>
    </xf>
    <xf borderId="21" fillId="5" fontId="1" numFmtId="9" xfId="0" applyAlignment="1" applyBorder="1" applyFont="1" applyNumberFormat="1">
      <alignment horizontal="center"/>
    </xf>
    <xf borderId="1" fillId="5" fontId="1" numFmtId="9" xfId="0" applyAlignment="1" applyBorder="1" applyFont="1" applyNumberFormat="1">
      <alignment horizontal="center"/>
    </xf>
    <xf borderId="20" fillId="5" fontId="1" numFmtId="9" xfId="0" applyAlignment="1" applyBorder="1" applyFont="1" applyNumberFormat="1">
      <alignment horizontal="center"/>
    </xf>
    <xf borderId="22" fillId="0" fontId="1" numFmtId="9" xfId="0" applyAlignment="1" applyBorder="1" applyFont="1" applyNumberFormat="1">
      <alignment horizontal="center"/>
    </xf>
    <xf borderId="0" fillId="0" fontId="1" numFmtId="9" xfId="0" applyAlignment="1" applyFont="1" applyNumberFormat="1">
      <alignment horizontal="center"/>
    </xf>
    <xf borderId="23" fillId="0" fontId="1" numFmtId="9" xfId="0" applyAlignment="1" applyBorder="1" applyFont="1" applyNumberFormat="1">
      <alignment horizontal="center"/>
    </xf>
    <xf borderId="21" fillId="5" fontId="17" numFmtId="9" xfId="0" applyAlignment="1" applyBorder="1" applyFont="1" applyNumberFormat="1">
      <alignment horizontal="center"/>
    </xf>
    <xf borderId="1" fillId="5" fontId="17" numFmtId="9" xfId="0" applyAlignment="1" applyBorder="1" applyFont="1" applyNumberFormat="1">
      <alignment horizontal="center"/>
    </xf>
    <xf borderId="20" fillId="5" fontId="17" numFmtId="9" xfId="0" applyAlignment="1" applyBorder="1" applyFont="1" applyNumberFormat="1">
      <alignment horizontal="center"/>
    </xf>
    <xf borderId="16" fillId="4" fontId="1" numFmtId="0" xfId="0" applyBorder="1" applyFont="1"/>
    <xf quotePrefix="1" borderId="24" fillId="0" fontId="1" numFmtId="0" xfId="0" applyAlignment="1" applyBorder="1" applyFont="1">
      <alignment horizontal="center"/>
    </xf>
    <xf quotePrefix="1" borderId="24" fillId="0" fontId="8" numFmtId="0" xfId="0" applyAlignment="1" applyBorder="1" applyFont="1">
      <alignment horizontal="center"/>
    </xf>
    <xf borderId="35" fillId="0" fontId="1" numFmtId="1" xfId="0" applyAlignment="1" applyBorder="1" applyFont="1" applyNumberFormat="1">
      <alignment horizontal="center"/>
    </xf>
    <xf borderId="33" fillId="0" fontId="1" numFmtId="1" xfId="0" applyAlignment="1" applyBorder="1" applyFont="1" applyNumberFormat="1">
      <alignment horizontal="center"/>
    </xf>
    <xf borderId="36" fillId="0" fontId="1" numFmtId="1" xfId="0" applyAlignment="1" applyBorder="1" applyFont="1" applyNumberFormat="1">
      <alignment horizontal="center"/>
    </xf>
    <xf borderId="35" fillId="0" fontId="1" numFmtId="0" xfId="0" applyAlignment="1" applyBorder="1" applyFont="1">
      <alignment horizontal="center"/>
    </xf>
    <xf borderId="1" fillId="12" fontId="8" numFmtId="49" xfId="0" applyAlignment="1" applyBorder="1" applyFill="1" applyFont="1" applyNumberFormat="1">
      <alignment shrinkToFit="0" vertical="center" wrapText="1"/>
    </xf>
    <xf borderId="1" fillId="12" fontId="21" numFmtId="49" xfId="0" applyAlignment="1" applyBorder="1" applyFont="1" applyNumberFormat="1">
      <alignment shrinkToFit="0" wrapText="1"/>
    </xf>
    <xf borderId="1" fillId="3" fontId="21" numFmtId="49" xfId="0" applyAlignment="1" applyBorder="1" applyFont="1" applyNumberFormat="1">
      <alignment shrinkToFit="0" wrapText="1"/>
    </xf>
    <xf borderId="1" fillId="3" fontId="21" numFmtId="49" xfId="0" applyBorder="1" applyFont="1" applyNumberFormat="1"/>
    <xf borderId="0" fillId="0" fontId="21" numFmtId="49" xfId="0" applyFont="1" applyNumberFormat="1"/>
    <xf borderId="1" fillId="3" fontId="1" numFmtId="49" xfId="0" applyAlignment="1" applyBorder="1" applyFont="1" applyNumberFormat="1">
      <alignment shrinkToFit="0" wrapText="1"/>
    </xf>
    <xf borderId="0" fillId="0" fontId="1" numFmtId="49" xfId="0" applyAlignment="1" applyFont="1" applyNumberFormat="1">
      <alignment shrinkToFit="0" wrapText="1"/>
    </xf>
    <xf borderId="0" fillId="0" fontId="21" numFmtId="49" xfId="0" applyAlignment="1" applyFont="1" applyNumberFormat="1">
      <alignment shrinkToFit="0" wrapText="1"/>
    </xf>
    <xf borderId="1" fillId="3" fontId="22" numFmtId="49" xfId="0" applyAlignment="1" applyBorder="1" applyFont="1" applyNumberFormat="1">
      <alignment horizontal="center" shrinkToFit="0" wrapText="1"/>
    </xf>
    <xf borderId="1" fillId="4" fontId="21" numFmtId="49" xfId="0" applyAlignment="1" applyBorder="1" applyFont="1" applyNumberFormat="1">
      <alignment shrinkToFit="0" wrapText="1"/>
    </xf>
    <xf borderId="1" fillId="5" fontId="21" numFmtId="49" xfId="0" applyAlignment="1" applyBorder="1" applyFont="1" applyNumberFormat="1">
      <alignment horizontal="center" shrinkToFit="0" wrapText="1"/>
    </xf>
    <xf borderId="1" fillId="5" fontId="1" numFmtId="9" xfId="0" applyAlignment="1" applyBorder="1" applyFont="1" applyNumberFormat="1">
      <alignment horizontal="center" shrinkToFit="0" wrapText="1"/>
    </xf>
    <xf borderId="1" fillId="5" fontId="21" numFmtId="1" xfId="0" applyAlignment="1" applyBorder="1" applyFont="1" applyNumberFormat="1">
      <alignment horizontal="center" shrinkToFit="0" wrapText="1"/>
    </xf>
    <xf borderId="1" fillId="5" fontId="21" numFmtId="170" xfId="0" applyAlignment="1" applyBorder="1" applyFont="1" applyNumberFormat="1">
      <alignment horizontal="center" shrinkToFit="0" wrapText="1"/>
    </xf>
    <xf borderId="1" fillId="3" fontId="22" numFmtId="49" xfId="0" applyAlignment="1" applyBorder="1" applyFont="1" applyNumberFormat="1">
      <alignment shrinkToFit="0" wrapText="1"/>
    </xf>
    <xf borderId="1" fillId="13" fontId="21" numFmtId="1" xfId="0" applyAlignment="1" applyBorder="1" applyFill="1" applyFont="1" applyNumberFormat="1">
      <alignment horizontal="center" shrinkToFit="0" wrapText="1"/>
    </xf>
    <xf borderId="1" fillId="5" fontId="21" numFmtId="166" xfId="0" applyAlignment="1" applyBorder="1" applyFont="1" applyNumberFormat="1">
      <alignment horizontal="center" shrinkToFit="0" wrapText="1"/>
    </xf>
    <xf borderId="1" fillId="5" fontId="1" numFmtId="166" xfId="0" applyAlignment="1" applyBorder="1" applyFont="1" applyNumberFormat="1">
      <alignment horizontal="center" shrinkToFit="0" wrapText="1"/>
    </xf>
    <xf borderId="46" fillId="0" fontId="3" numFmtId="0" xfId="0" applyBorder="1" applyFont="1"/>
    <xf borderId="45" fillId="3" fontId="8" numFmtId="0" xfId="0" applyBorder="1" applyFont="1"/>
    <xf borderId="19" fillId="4" fontId="1" numFmtId="0" xfId="0" applyAlignment="1" applyBorder="1" applyFont="1">
      <alignment horizontal="center"/>
    </xf>
    <xf borderId="1" fillId="5" fontId="1" numFmtId="0" xfId="0" applyAlignment="1" applyBorder="1" applyFont="1">
      <alignment horizontal="left" shrinkToFit="0" vertical="top" wrapText="1"/>
    </xf>
    <xf borderId="1" fillId="5" fontId="1" numFmtId="0" xfId="0" applyAlignment="1" applyBorder="1" applyFont="1">
      <alignment shrinkToFit="0" wrapText="1"/>
    </xf>
    <xf borderId="35" fillId="0" fontId="1" numFmtId="170" xfId="0" applyAlignment="1" applyBorder="1" applyFont="1" applyNumberFormat="1">
      <alignment horizontal="center"/>
    </xf>
    <xf borderId="33" fillId="0" fontId="1" numFmtId="170" xfId="0" applyAlignment="1" applyBorder="1" applyFont="1" applyNumberFormat="1">
      <alignment horizontal="center"/>
    </xf>
    <xf borderId="36" fillId="0" fontId="1" numFmtId="170" xfId="0" applyAlignment="1" applyBorder="1" applyFont="1" applyNumberFormat="1">
      <alignment horizontal="center"/>
    </xf>
    <xf borderId="34" fillId="0" fontId="1" numFmtId="0" xfId="0" applyAlignment="1" applyBorder="1" applyFont="1">
      <alignment horizontal="center"/>
    </xf>
    <xf borderId="0" fillId="0" fontId="1" numFmtId="0" xfId="0" applyAlignment="1" applyFont="1">
      <alignment shrinkToFit="0" vertical="top" wrapText="1"/>
    </xf>
    <xf borderId="10" fillId="3" fontId="8" numFmtId="0" xfId="0" applyAlignment="1" applyBorder="1" applyFont="1">
      <alignment horizontal="center"/>
    </xf>
    <xf borderId="10" fillId="14" fontId="8" numFmtId="0" xfId="0" applyAlignment="1" applyBorder="1" applyFill="1" applyFont="1">
      <alignment horizontal="center"/>
    </xf>
    <xf borderId="1" fillId="11" fontId="8" numFmtId="0" xfId="0" applyBorder="1" applyFont="1"/>
    <xf borderId="1" fillId="11" fontId="1" numFmtId="0" xfId="0" applyBorder="1" applyFont="1"/>
    <xf borderId="1" fillId="3" fontId="1" numFmtId="0" xfId="0" applyAlignment="1" applyBorder="1" applyFont="1">
      <alignment shrinkToFit="0" wrapText="1"/>
    </xf>
    <xf borderId="1" fillId="14" fontId="8" numFmtId="0" xfId="0" applyAlignment="1" applyBorder="1" applyFont="1">
      <alignment horizontal="center"/>
    </xf>
    <xf borderId="1" fillId="5" fontId="1" numFmtId="0" xfId="0" applyAlignment="1" applyBorder="1" applyFont="1">
      <alignment horizontal="center"/>
    </xf>
    <xf borderId="1" fillId="10" fontId="1" numFmtId="1" xfId="0" applyAlignment="1" applyBorder="1" applyFont="1" applyNumberFormat="1">
      <alignment horizontal="center"/>
    </xf>
    <xf borderId="21" fillId="4" fontId="8" numFmtId="0" xfId="0" applyBorder="1" applyFont="1"/>
    <xf borderId="1" fillId="4" fontId="8" numFmtId="164" xfId="0" applyBorder="1" applyFont="1" applyNumberFormat="1"/>
    <xf borderId="20" fillId="4" fontId="8" numFmtId="164" xfId="0" applyBorder="1" applyFont="1" applyNumberFormat="1"/>
    <xf borderId="24" fillId="0" fontId="3" numFmtId="0" xfId="0" applyBorder="1" applyFont="1"/>
    <xf borderId="1" fillId="4" fontId="8" numFmtId="0" xfId="0" applyAlignment="1" applyBorder="1" applyFont="1">
      <alignment horizontal="center"/>
    </xf>
    <xf borderId="0" fillId="0" fontId="1" numFmtId="170" xfId="0" applyAlignment="1" applyFont="1" applyNumberFormat="1">
      <alignment horizontal="center"/>
    </xf>
    <xf borderId="34" fillId="0" fontId="1" numFmtId="0" xfId="0" applyBorder="1" applyFont="1"/>
    <xf borderId="0" fillId="0" fontId="1" numFmtId="1" xfId="0" applyFont="1" applyNumberFormat="1"/>
    <xf borderId="13" fillId="3" fontId="8" numFmtId="0" xfId="0" applyAlignment="1" applyBorder="1" applyFont="1">
      <alignment shrinkToFit="0" wrapText="1"/>
    </xf>
    <xf borderId="21" fillId="4" fontId="1" numFmtId="0" xfId="0" applyAlignment="1" applyBorder="1" applyFont="1">
      <alignment shrinkToFit="0" wrapText="1"/>
    </xf>
    <xf borderId="1" fillId="10" fontId="1" numFmtId="0" xfId="0" applyBorder="1" applyFont="1"/>
    <xf borderId="20" fillId="10" fontId="1" numFmtId="0" xfId="0" applyBorder="1" applyFont="1"/>
    <xf borderId="1" fillId="5" fontId="1" numFmtId="1" xfId="0" applyBorder="1" applyFont="1" applyNumberFormat="1"/>
    <xf borderId="20" fillId="5" fontId="1" numFmtId="1" xfId="0" applyBorder="1" applyFont="1" applyNumberFormat="1"/>
    <xf borderId="25" fillId="4" fontId="1" numFmtId="0" xfId="0" applyAlignment="1" applyBorder="1" applyFont="1">
      <alignment shrinkToFit="0" wrapText="1"/>
    </xf>
    <xf borderId="26" fillId="5" fontId="1" numFmtId="1" xfId="0" applyBorder="1" applyFont="1" applyNumberFormat="1"/>
    <xf borderId="27" fillId="5" fontId="1" numFmtId="1" xfId="0" applyBorder="1" applyFont="1" applyNumberFormat="1"/>
    <xf borderId="20" fillId="5" fontId="1" numFmtId="9" xfId="0" applyBorder="1" applyFont="1" applyNumberFormat="1"/>
    <xf borderId="26" fillId="5" fontId="1" numFmtId="9" xfId="0" applyBorder="1" applyFont="1" applyNumberFormat="1"/>
    <xf borderId="27" fillId="5" fontId="1" numFmtId="9" xfId="0" applyBorder="1" applyFont="1" applyNumberFormat="1"/>
    <xf borderId="21" fillId="3" fontId="8" numFmtId="0" xfId="0" applyAlignment="1" applyBorder="1" applyFont="1">
      <alignment shrinkToFit="0" vertical="center" wrapText="1"/>
    </xf>
    <xf borderId="20" fillId="3" fontId="1" numFmtId="0" xfId="0" applyBorder="1" applyFont="1"/>
    <xf borderId="20" fillId="4" fontId="1" numFmtId="0" xfId="0" applyBorder="1" applyFont="1"/>
    <xf borderId="21" fillId="5" fontId="1" numFmtId="1" xfId="0" applyBorder="1" applyFont="1" applyNumberFormat="1"/>
    <xf borderId="21" fillId="5" fontId="10" numFmtId="164" xfId="0" applyAlignment="1" applyBorder="1" applyFont="1" applyNumberFormat="1">
      <alignment horizontal="center"/>
    </xf>
    <xf borderId="1" fillId="5" fontId="10" numFmtId="164" xfId="0" applyAlignment="1" applyBorder="1" applyFont="1" applyNumberFormat="1">
      <alignment horizontal="center"/>
    </xf>
    <xf borderId="20" fillId="5" fontId="10" numFmtId="164" xfId="0" applyAlignment="1" applyBorder="1" applyFont="1" applyNumberFormat="1">
      <alignment horizontal="center"/>
    </xf>
    <xf borderId="27" fillId="4" fontId="1" numFmtId="0" xfId="0" applyBorder="1" applyFont="1"/>
    <xf borderId="25" fillId="5" fontId="1" numFmtId="1" xfId="0" applyBorder="1" applyFont="1" applyNumberFormat="1"/>
    <xf borderId="25" fillId="5" fontId="10" numFmtId="164" xfId="0" applyAlignment="1" applyBorder="1" applyFont="1" applyNumberFormat="1">
      <alignment horizontal="center"/>
    </xf>
    <xf borderId="26" fillId="5" fontId="10" numFmtId="164" xfId="0" applyAlignment="1" applyBorder="1" applyFont="1" applyNumberFormat="1">
      <alignment horizontal="center"/>
    </xf>
    <xf borderId="27" fillId="5" fontId="10" numFmtId="164" xfId="0" applyAlignment="1" applyBorder="1" applyFont="1" applyNumberFormat="1">
      <alignment horizontal="center"/>
    </xf>
    <xf borderId="14" fillId="3" fontId="9" numFmtId="3" xfId="0" applyAlignment="1" applyBorder="1" applyFont="1" applyNumberFormat="1">
      <alignment horizontal="center"/>
    </xf>
    <xf borderId="21" fillId="5" fontId="1" numFmtId="0" xfId="0" applyAlignment="1" applyBorder="1" applyFont="1">
      <alignment shrinkToFit="0" wrapText="1"/>
    </xf>
    <xf borderId="25" fillId="5" fontId="1" numFmtId="0" xfId="0" applyAlignment="1" applyBorder="1" applyFont="1">
      <alignment shrinkToFit="0" wrapText="1"/>
    </xf>
    <xf borderId="26" fillId="4" fontId="1" numFmtId="0" xfId="0" applyBorder="1" applyFont="1"/>
    <xf borderId="27" fillId="5" fontId="1" numFmtId="166" xfId="0" applyBorder="1" applyFont="1" applyNumberFormat="1"/>
    <xf borderId="16" fillId="3" fontId="8" numFmtId="0" xfId="0" applyAlignment="1" applyBorder="1" applyFont="1">
      <alignment shrinkToFit="0" vertical="center" wrapText="1"/>
    </xf>
    <xf borderId="32" fillId="3" fontId="8" numFmtId="0" xfId="0" applyAlignment="1" applyBorder="1" applyFont="1">
      <alignment horizontal="center" shrinkToFit="0" vertical="center" wrapText="1"/>
    </xf>
    <xf borderId="19" fillId="4" fontId="1" numFmtId="0" xfId="0" applyAlignment="1" applyBorder="1" applyFont="1">
      <alignment shrinkToFit="0" vertical="center" wrapText="1"/>
    </xf>
    <xf borderId="19" fillId="4" fontId="8" numFmtId="0" xfId="0" applyAlignment="1" applyBorder="1" applyFont="1">
      <alignment shrinkToFit="0" wrapText="1"/>
    </xf>
    <xf borderId="25" fillId="5" fontId="1" numFmtId="0" xfId="0" applyAlignment="1" applyBorder="1" applyFont="1">
      <alignment horizontal="center"/>
    </xf>
    <xf borderId="26" fillId="5" fontId="1" numFmtId="0" xfId="0" applyAlignment="1" applyBorder="1" applyFont="1">
      <alignment horizontal="center"/>
    </xf>
    <xf borderId="27" fillId="5" fontId="1" numFmtId="0" xfId="0" applyAlignment="1" applyBorder="1" applyFont="1">
      <alignment horizontal="center"/>
    </xf>
    <xf borderId="25" fillId="5" fontId="1" numFmtId="165" xfId="0" applyAlignment="1" applyBorder="1" applyFont="1" applyNumberFormat="1">
      <alignment horizontal="center"/>
    </xf>
    <xf borderId="26" fillId="5" fontId="1" numFmtId="165" xfId="0" applyAlignment="1" applyBorder="1" applyFont="1" applyNumberFormat="1">
      <alignment horizontal="center"/>
    </xf>
    <xf borderId="27" fillId="5" fontId="1" numFmtId="165" xfId="0" applyAlignment="1" applyBorder="1" applyFont="1" applyNumberFormat="1">
      <alignment horizontal="center"/>
    </xf>
    <xf borderId="0" fillId="0" fontId="17" numFmtId="0" xfId="0" applyAlignment="1" applyFont="1">
      <alignment shrinkToFit="0" vertical="top" wrapText="1"/>
    </xf>
    <xf borderId="19" fillId="4" fontId="1" numFmtId="0" xfId="0" applyAlignment="1" applyBorder="1" applyFont="1">
      <alignment horizontal="center" shrinkToFit="0" wrapText="1"/>
    </xf>
    <xf borderId="21" fillId="4" fontId="1" numFmtId="9" xfId="0" applyAlignment="1" applyBorder="1" applyFont="1" applyNumberFormat="1">
      <alignment horizontal="center" shrinkToFit="0" vertical="center" wrapText="1"/>
    </xf>
    <xf borderId="1" fillId="4" fontId="1" numFmtId="0" xfId="0" applyAlignment="1" applyBorder="1" applyFont="1">
      <alignment horizontal="center" shrinkToFit="0" vertical="center" wrapText="1"/>
    </xf>
    <xf borderId="20" fillId="4" fontId="1" numFmtId="0" xfId="0" applyAlignment="1" applyBorder="1" applyFont="1">
      <alignment horizontal="center" shrinkToFit="0" vertical="center" wrapText="1"/>
    </xf>
    <xf borderId="19" fillId="4" fontId="1" numFmtId="9" xfId="0" applyAlignment="1" applyBorder="1" applyFont="1" applyNumberFormat="1">
      <alignment horizontal="center"/>
    </xf>
    <xf borderId="21" fillId="10" fontId="1" numFmtId="166" xfId="0" applyAlignment="1" applyBorder="1" applyFont="1" applyNumberFormat="1">
      <alignment horizontal="center"/>
    </xf>
    <xf borderId="1" fillId="10" fontId="1" numFmtId="166" xfId="0" applyAlignment="1" applyBorder="1" applyFont="1" applyNumberFormat="1">
      <alignment horizontal="center"/>
    </xf>
    <xf borderId="20" fillId="10" fontId="1" numFmtId="166" xfId="0" applyAlignment="1" applyBorder="1" applyFont="1" applyNumberFormat="1">
      <alignment horizontal="center"/>
    </xf>
    <xf borderId="28" fillId="4" fontId="1" numFmtId="9" xfId="0" applyAlignment="1" applyBorder="1" applyFont="1" applyNumberFormat="1">
      <alignment horizontal="center"/>
    </xf>
    <xf borderId="25" fillId="10" fontId="1" numFmtId="166" xfId="0" applyAlignment="1" applyBorder="1" applyFont="1" applyNumberFormat="1">
      <alignment horizontal="center"/>
    </xf>
    <xf borderId="26" fillId="10" fontId="1" numFmtId="166" xfId="0" applyAlignment="1" applyBorder="1" applyFont="1" applyNumberFormat="1">
      <alignment horizontal="center"/>
    </xf>
    <xf borderId="27" fillId="10" fontId="1" numFmtId="166" xfId="0" applyAlignment="1" applyBorder="1" applyFont="1" applyNumberFormat="1">
      <alignment horizontal="center"/>
    </xf>
    <xf borderId="1" fillId="3" fontId="8" numFmtId="0" xfId="0" applyAlignment="1" applyBorder="1" applyFont="1">
      <alignment horizontal="center" vertical="center"/>
    </xf>
    <xf borderId="1" fillId="10" fontId="1" numFmtId="9" xfId="0" applyAlignment="1" applyBorder="1" applyFont="1" applyNumberFormat="1">
      <alignment horizontal="center" vertical="center"/>
    </xf>
    <xf borderId="1" fillId="5" fontId="8" numFmtId="166" xfId="0" applyAlignment="1" applyBorder="1" applyFont="1" applyNumberFormat="1">
      <alignment horizontal="center" vertical="center"/>
    </xf>
    <xf borderId="1" fillId="5" fontId="8" numFmtId="0" xfId="0" applyAlignment="1" applyBorder="1" applyFont="1">
      <alignment shrinkToFit="0" wrapText="1"/>
    </xf>
    <xf borderId="1" fillId="5" fontId="1" numFmtId="10" xfId="0" applyAlignment="1" applyBorder="1" applyFont="1" applyNumberFormat="1">
      <alignment horizontal="center" vertical="center"/>
    </xf>
    <xf borderId="1" fillId="3" fontId="8" numFmtId="49" xfId="0" applyAlignment="1" applyBorder="1" applyFont="1" applyNumberFormat="1">
      <alignment shrinkToFit="0" wrapText="1"/>
    </xf>
    <xf borderId="13" fillId="3" fontId="8" numFmtId="0" xfId="0" applyAlignment="1" applyBorder="1" applyFont="1">
      <alignment horizontal="center" vertical="center"/>
    </xf>
    <xf borderId="14" fillId="3" fontId="8" numFmtId="0" xfId="0" applyAlignment="1" applyBorder="1" applyFont="1">
      <alignment horizontal="center" vertical="center"/>
    </xf>
    <xf borderId="15" fillId="3" fontId="8" numFmtId="0" xfId="0" applyAlignment="1" applyBorder="1" applyFont="1">
      <alignment horizontal="center" vertical="center"/>
    </xf>
    <xf borderId="1" fillId="4" fontId="1" numFmtId="49" xfId="0" applyAlignment="1" applyBorder="1" applyFont="1" applyNumberFormat="1">
      <alignment shrinkToFit="0" wrapText="1"/>
    </xf>
    <xf borderId="21" fillId="10" fontId="1" numFmtId="1" xfId="0" applyAlignment="1" applyBorder="1" applyFont="1" applyNumberFormat="1">
      <alignment horizontal="center" vertical="center"/>
    </xf>
    <xf borderId="1" fillId="10" fontId="1" numFmtId="1" xfId="0" applyAlignment="1" applyBorder="1" applyFont="1" applyNumberFormat="1">
      <alignment horizontal="center" vertical="center"/>
    </xf>
    <xf borderId="20" fillId="10" fontId="1" numFmtId="1" xfId="0" applyAlignment="1" applyBorder="1" applyFont="1" applyNumberFormat="1">
      <alignment horizontal="center" vertical="center"/>
    </xf>
    <xf borderId="25" fillId="10" fontId="1" numFmtId="1" xfId="0" applyAlignment="1" applyBorder="1" applyFont="1" applyNumberFormat="1">
      <alignment horizontal="center" vertical="center"/>
    </xf>
    <xf borderId="26" fillId="10" fontId="1" numFmtId="0" xfId="0" applyAlignment="1" applyBorder="1" applyFont="1">
      <alignment horizontal="center" vertical="center"/>
    </xf>
    <xf borderId="27" fillId="10" fontId="1" numFmtId="1" xfId="0" applyAlignment="1" applyBorder="1" applyFont="1" applyNumberFormat="1">
      <alignment horizontal="center" vertical="center"/>
    </xf>
    <xf borderId="26" fillId="10" fontId="1" numFmtId="1" xfId="0" applyAlignment="1" applyBorder="1" applyFont="1" applyNumberFormat="1">
      <alignment horizontal="center" vertical="center"/>
    </xf>
    <xf borderId="0" fillId="0" fontId="1" numFmtId="1" xfId="0" applyAlignment="1" applyFont="1" applyNumberFormat="1">
      <alignment horizontal="center" vertical="center"/>
    </xf>
    <xf borderId="1" fillId="10" fontId="1" numFmtId="0" xfId="0" applyAlignment="1" applyBorder="1" applyFont="1">
      <alignment horizontal="center" shrinkToFit="0" vertical="center" wrapText="1"/>
    </xf>
    <xf borderId="1" fillId="10" fontId="1" numFmtId="9" xfId="0" applyAlignment="1" applyBorder="1" applyFont="1" applyNumberFormat="1">
      <alignment horizontal="center" shrinkToFit="0" vertical="center" wrapText="1"/>
    </xf>
    <xf borderId="0" fillId="0" fontId="1" numFmtId="10" xfId="0" applyFont="1" applyNumberFormat="1"/>
    <xf borderId="13" fillId="4" fontId="9" numFmtId="3" xfId="0" applyAlignment="1" applyBorder="1" applyFont="1" applyNumberFormat="1">
      <alignment horizontal="center"/>
    </xf>
    <xf borderId="14" fillId="4" fontId="8" numFmtId="0" xfId="0" applyAlignment="1" applyBorder="1" applyFont="1">
      <alignment horizontal="center"/>
    </xf>
    <xf borderId="15" fillId="4" fontId="8" numFmtId="0" xfId="0" applyAlignment="1" applyBorder="1" applyFont="1">
      <alignment horizontal="center"/>
    </xf>
    <xf borderId="25" fillId="10" fontId="1" numFmtId="9" xfId="0" applyAlignment="1" applyBorder="1" applyFont="1" applyNumberFormat="1">
      <alignment horizontal="center"/>
    </xf>
    <xf borderId="26" fillId="10" fontId="1" numFmtId="9" xfId="0" applyAlignment="1" applyBorder="1" applyFont="1" applyNumberFormat="1">
      <alignment horizontal="center"/>
    </xf>
    <xf borderId="27" fillId="10" fontId="1" numFmtId="9" xfId="0" applyAlignment="1" applyBorder="1" applyFont="1" applyNumberFormat="1">
      <alignment horizontal="center"/>
    </xf>
    <xf borderId="13" fillId="3" fontId="8" numFmtId="49" xfId="0" applyAlignment="1" applyBorder="1" applyFont="1" applyNumberFormat="1">
      <alignment shrinkToFit="0" wrapText="1"/>
    </xf>
    <xf borderId="14" fillId="3" fontId="8" numFmtId="1" xfId="0" applyBorder="1" applyFont="1" applyNumberFormat="1"/>
    <xf borderId="15" fillId="3" fontId="8" numFmtId="1" xfId="0" applyBorder="1" applyFont="1" applyNumberFormat="1"/>
    <xf borderId="13" fillId="3" fontId="8" numFmtId="1" xfId="0" applyBorder="1" applyFont="1" applyNumberFormat="1"/>
    <xf borderId="21" fillId="5" fontId="1" numFmtId="10" xfId="0" applyBorder="1" applyFont="1" applyNumberFormat="1"/>
    <xf borderId="20" fillId="5" fontId="1" numFmtId="0" xfId="0" applyBorder="1" applyFont="1"/>
    <xf borderId="1" fillId="4" fontId="8" numFmtId="49" xfId="0" applyAlignment="1" applyBorder="1" applyFont="1" applyNumberFormat="1">
      <alignment shrinkToFit="0" wrapText="1"/>
    </xf>
    <xf borderId="21" fillId="4" fontId="8" numFmtId="3" xfId="0" applyAlignment="1" applyBorder="1" applyFont="1" applyNumberFormat="1">
      <alignment horizontal="center"/>
    </xf>
    <xf borderId="20" fillId="4" fontId="8" numFmtId="0" xfId="0" applyAlignment="1" applyBorder="1" applyFont="1">
      <alignment horizontal="center"/>
    </xf>
    <xf borderId="21" fillId="5" fontId="1" numFmtId="3" xfId="0" applyAlignment="1" applyBorder="1" applyFont="1" applyNumberFormat="1">
      <alignment horizontal="center"/>
    </xf>
    <xf borderId="25" fillId="5" fontId="1" numFmtId="3" xfId="0" applyAlignment="1" applyBorder="1" applyFont="1" applyNumberFormat="1">
      <alignment horizontal="center"/>
    </xf>
    <xf borderId="22" fillId="0" fontId="10" numFmtId="3" xfId="0" applyAlignment="1" applyBorder="1" applyFont="1" applyNumberFormat="1">
      <alignment horizontal="center"/>
    </xf>
    <xf borderId="0" fillId="0" fontId="10" numFmtId="3" xfId="0" applyAlignment="1" applyFont="1" applyNumberFormat="1">
      <alignment horizontal="center"/>
    </xf>
    <xf borderId="13" fillId="3" fontId="10" numFmtId="3" xfId="0" applyAlignment="1" applyBorder="1" applyFont="1" applyNumberFormat="1">
      <alignment horizontal="center"/>
    </xf>
    <xf borderId="14" fillId="3" fontId="1" numFmtId="0" xfId="0" applyAlignment="1" applyBorder="1" applyFont="1">
      <alignment horizontal="center"/>
    </xf>
    <xf borderId="15" fillId="3" fontId="1" numFmtId="0" xfId="0" applyAlignment="1" applyBorder="1" applyFont="1">
      <alignment horizontal="center"/>
    </xf>
    <xf borderId="13" fillId="4" fontId="8" numFmtId="0" xfId="0" applyAlignment="1" applyBorder="1" applyFont="1">
      <alignment horizontal="center"/>
    </xf>
    <xf borderId="13" fillId="4" fontId="8" numFmtId="164" xfId="0" applyAlignment="1" applyBorder="1" applyFont="1" applyNumberFormat="1">
      <alignment horizontal="center"/>
    </xf>
    <xf borderId="14" fillId="4" fontId="8" numFmtId="164" xfId="0" applyAlignment="1" applyBorder="1" applyFont="1" applyNumberFormat="1">
      <alignment horizontal="center"/>
    </xf>
    <xf borderId="15" fillId="4" fontId="8" numFmtId="164" xfId="0" applyAlignment="1" applyBorder="1" applyFont="1" applyNumberFormat="1">
      <alignment horizontal="center"/>
    </xf>
    <xf borderId="1" fillId="3" fontId="1" numFmtId="0" xfId="0" applyAlignment="1" applyBorder="1" applyFont="1">
      <alignment horizontal="center" vertical="center"/>
    </xf>
    <xf borderId="1" fillId="3" fontId="1" numFmtId="0" xfId="0" applyAlignment="1" applyBorder="1" applyFont="1">
      <alignment horizontal="center" shrinkToFit="0" vertical="center" wrapText="1"/>
    </xf>
    <xf borderId="1" fillId="4" fontId="1" numFmtId="170" xfId="0" applyAlignment="1" applyBorder="1" applyFont="1" applyNumberFormat="1">
      <alignment horizontal="center" vertical="center"/>
    </xf>
    <xf borderId="1" fillId="4" fontId="1" numFmtId="0" xfId="0" applyAlignment="1" applyBorder="1" applyFont="1">
      <alignment horizontal="center" vertical="center"/>
    </xf>
    <xf borderId="1" fillId="4" fontId="1" numFmtId="171" xfId="0" applyAlignment="1" applyBorder="1" applyFont="1" applyNumberFormat="1">
      <alignment horizontal="center" vertical="center"/>
    </xf>
    <xf borderId="1" fillId="4" fontId="1" numFmtId="166" xfId="0" applyAlignment="1" applyBorder="1" applyFont="1" applyNumberFormat="1">
      <alignment horizontal="center" vertical="center"/>
    </xf>
    <xf borderId="1" fillId="2" fontId="23" numFmtId="0" xfId="0" applyAlignment="1" applyBorder="1" applyFont="1">
      <alignment shrinkToFit="0" wrapText="1"/>
    </xf>
    <xf borderId="1" fillId="2" fontId="24" numFmtId="0" xfId="0" applyBorder="1" applyFont="1"/>
    <xf borderId="1" fillId="2" fontId="25" numFmtId="0" xfId="0" applyAlignment="1" applyBorder="1" applyFont="1">
      <alignment shrinkToFit="0" wrapText="1"/>
    </xf>
    <xf borderId="1" fillId="2" fontId="23" numFmtId="0" xfId="0" applyBorder="1" applyFont="1"/>
    <xf borderId="1" fillId="2" fontId="24" numFmtId="0" xfId="0" applyAlignment="1" applyBorder="1" applyFont="1">
      <alignment shrinkToFit="0" wrapText="1"/>
    </xf>
    <xf borderId="39" fillId="0" fontId="23" numFmtId="0" xfId="0" applyBorder="1" applyFont="1"/>
    <xf borderId="40" fillId="0" fontId="23" numFmtId="0" xfId="0" applyAlignment="1" applyBorder="1" applyFont="1">
      <alignment horizontal="center"/>
    </xf>
    <xf borderId="40" fillId="0" fontId="23" numFmtId="0" xfId="0" applyAlignment="1" applyBorder="1" applyFont="1">
      <alignment horizontal="center" shrinkToFit="0" wrapText="1"/>
    </xf>
    <xf borderId="41" fillId="0" fontId="23" numFmtId="0" xfId="0" applyAlignment="1" applyBorder="1" applyFont="1">
      <alignment horizontal="center"/>
    </xf>
    <xf borderId="22" fillId="0" fontId="24" numFmtId="0" xfId="0" applyBorder="1" applyFont="1"/>
    <xf borderId="0" fillId="0" fontId="24" numFmtId="0" xfId="0" applyAlignment="1" applyFont="1">
      <alignment horizontal="center"/>
    </xf>
    <xf borderId="0" fillId="0" fontId="24" numFmtId="171" xfId="0" applyAlignment="1" applyFont="1" applyNumberFormat="1">
      <alignment horizontal="center"/>
    </xf>
    <xf borderId="23" fillId="0" fontId="24" numFmtId="0" xfId="0" applyAlignment="1" applyBorder="1" applyFont="1">
      <alignment horizontal="center"/>
    </xf>
    <xf quotePrefix="1" borderId="22" fillId="0" fontId="24" numFmtId="0" xfId="0" applyBorder="1" applyFont="1"/>
    <xf borderId="23" fillId="0" fontId="24" numFmtId="166" xfId="0" applyAlignment="1" applyBorder="1" applyFont="1" applyNumberFormat="1">
      <alignment horizontal="center"/>
    </xf>
    <xf quotePrefix="1" borderId="22" fillId="0" fontId="24" numFmtId="0" xfId="0" applyAlignment="1" applyBorder="1" applyFont="1">
      <alignment shrinkToFit="0" wrapText="1"/>
    </xf>
    <xf quotePrefix="1" borderId="35" fillId="0" fontId="24" numFmtId="0" xfId="0" applyAlignment="1" applyBorder="1" applyFont="1">
      <alignment shrinkToFit="0" wrapText="1"/>
    </xf>
    <xf borderId="33" fillId="0" fontId="24" numFmtId="0" xfId="0" applyAlignment="1" applyBorder="1" applyFont="1">
      <alignment horizontal="center"/>
    </xf>
    <xf borderId="33" fillId="0" fontId="24" numFmtId="171" xfId="0" applyAlignment="1" applyBorder="1" applyFont="1" applyNumberFormat="1">
      <alignment horizontal="center"/>
    </xf>
    <xf borderId="36" fillId="0" fontId="24" numFmtId="166" xfId="0" applyAlignment="1" applyBorder="1" applyFont="1" applyNumberFormat="1">
      <alignment horizontal="center"/>
    </xf>
    <xf borderId="47" fillId="2" fontId="24" numFmtId="0" xfId="0" applyAlignment="1" applyBorder="1" applyFont="1">
      <alignment shrinkToFit="0" vertical="top" wrapText="1"/>
    </xf>
    <xf borderId="22" fillId="0" fontId="24" numFmtId="0" xfId="0" applyAlignment="1" applyBorder="1" applyFont="1">
      <alignment shrinkToFit="0" wrapText="1"/>
    </xf>
    <xf borderId="0" fillId="0" fontId="24" numFmtId="170" xfId="0" applyAlignment="1" applyFont="1" applyNumberFormat="1">
      <alignment horizontal="center"/>
    </xf>
    <xf borderId="23" fillId="0" fontId="24" numFmtId="171" xfId="0" applyAlignment="1" applyBorder="1" applyFont="1" applyNumberFormat="1">
      <alignment horizontal="center"/>
    </xf>
    <xf borderId="35" fillId="0" fontId="24" numFmtId="0" xfId="0" applyAlignment="1" applyBorder="1" applyFont="1">
      <alignment shrinkToFit="0" wrapText="1"/>
    </xf>
    <xf borderId="33" fillId="0" fontId="24" numFmtId="170" xfId="0" applyAlignment="1" applyBorder="1" applyFont="1" applyNumberFormat="1">
      <alignment horizontal="center"/>
    </xf>
    <xf borderId="36" fillId="0" fontId="24" numFmtId="171" xfId="0" applyAlignment="1" applyBorder="1" applyFont="1" applyNumberFormat="1">
      <alignment horizontal="center"/>
    </xf>
    <xf borderId="1" fillId="2" fontId="1" numFmtId="0" xfId="0" applyAlignment="1" applyBorder="1" applyFont="1">
      <alignment shrinkToFit="0" wrapText="1"/>
    </xf>
    <xf borderId="1" fillId="3" fontId="8" numFmtId="49" xfId="0" applyAlignment="1" applyBorder="1" applyFont="1" applyNumberFormat="1">
      <alignment shrinkToFit="0" vertical="center" wrapText="1"/>
    </xf>
    <xf borderId="27" fillId="10" fontId="1" numFmtId="0" xfId="0" applyAlignment="1" applyBorder="1" applyFont="1">
      <alignment horizontal="center" vertical="center"/>
    </xf>
    <xf borderId="20" fillId="3" fontId="8" numFmtId="49" xfId="0" applyAlignment="1" applyBorder="1" applyFont="1" applyNumberFormat="1">
      <alignment shrinkToFit="0" wrapText="1"/>
    </xf>
    <xf borderId="20" fillId="4" fontId="1" numFmtId="49" xfId="0" applyAlignment="1" applyBorder="1" applyFont="1" applyNumberFormat="1">
      <alignment shrinkToFit="0" wrapText="1"/>
    </xf>
    <xf borderId="21" fillId="10" fontId="1" numFmtId="0" xfId="0" applyAlignment="1" applyBorder="1" applyFont="1">
      <alignment horizontal="center" shrinkToFit="0" vertical="center" wrapText="1"/>
    </xf>
    <xf borderId="25" fillId="10" fontId="1" numFmtId="9" xfId="0" applyAlignment="1" applyBorder="1" applyFont="1" applyNumberFormat="1">
      <alignment horizontal="center" shrinkToFit="0" vertical="center" wrapText="1"/>
    </xf>
    <xf borderId="26" fillId="10" fontId="1" numFmtId="9" xfId="0" applyAlignment="1" applyBorder="1" applyFont="1" applyNumberFormat="1">
      <alignment horizontal="center" vertical="center"/>
    </xf>
    <xf borderId="27" fillId="10" fontId="1" numFmtId="9" xfId="0" applyAlignment="1" applyBorder="1" applyFont="1" applyNumberFormat="1">
      <alignment horizontal="center" vertical="center"/>
    </xf>
    <xf borderId="0" fillId="0" fontId="1" numFmtId="1" xfId="0" applyAlignment="1" applyFont="1" applyNumberFormat="1">
      <alignment horizontal="right" shrinkToFit="0" wrapText="1"/>
    </xf>
    <xf borderId="13" fillId="4" fontId="8" numFmtId="49" xfId="0" applyAlignment="1" applyBorder="1" applyFont="1" applyNumberFormat="1">
      <alignment horizontal="center" shrinkToFit="0" wrapText="1"/>
    </xf>
    <xf borderId="14" fillId="4" fontId="8" numFmtId="1" xfId="0" applyAlignment="1" applyBorder="1" applyFont="1" applyNumberFormat="1">
      <alignment horizontal="center"/>
    </xf>
    <xf borderId="15" fillId="4" fontId="8" numFmtId="10" xfId="0" applyAlignment="1" applyBorder="1" applyFont="1" applyNumberFormat="1">
      <alignment horizontal="center"/>
    </xf>
    <xf borderId="0" fillId="0" fontId="8" numFmtId="1" xfId="0" applyFont="1" applyNumberFormat="1"/>
    <xf borderId="25" fillId="10" fontId="1" numFmtId="170" xfId="0" applyAlignment="1" applyBorder="1" applyFont="1" applyNumberFormat="1">
      <alignment horizontal="center" shrinkToFit="0" wrapText="1"/>
    </xf>
    <xf borderId="26" fillId="10" fontId="1" numFmtId="170" xfId="0" applyAlignment="1" applyBorder="1" applyFont="1" applyNumberFormat="1">
      <alignment horizontal="center"/>
    </xf>
    <xf borderId="27" fillId="10" fontId="1" numFmtId="170" xfId="0" applyAlignment="1" applyBorder="1" applyFont="1" applyNumberFormat="1">
      <alignment horizontal="center"/>
    </xf>
    <xf borderId="0" fillId="0" fontId="8" numFmtId="49" xfId="0" applyAlignment="1" applyFont="1" applyNumberFormat="1">
      <alignment shrinkToFit="0" wrapText="1"/>
    </xf>
    <xf borderId="13" fillId="3" fontId="8" numFmtId="49" xfId="0" applyAlignment="1" applyBorder="1" applyFont="1" applyNumberFormat="1">
      <alignment horizontal="center" shrinkToFit="0" wrapText="1"/>
    </xf>
    <xf borderId="14" fillId="3" fontId="8" numFmtId="1" xfId="0" applyAlignment="1" applyBorder="1" applyFont="1" applyNumberFormat="1">
      <alignment horizontal="center"/>
    </xf>
    <xf borderId="15" fillId="3" fontId="8" numFmtId="1" xfId="0" applyAlignment="1" applyBorder="1" applyFont="1" applyNumberFormat="1">
      <alignment horizontal="center"/>
    </xf>
    <xf borderId="21" fillId="5" fontId="1" numFmtId="166" xfId="0" applyAlignment="1" applyBorder="1" applyFont="1" applyNumberFormat="1">
      <alignment horizontal="center"/>
    </xf>
    <xf borderId="1" fillId="5" fontId="1" numFmtId="166" xfId="0" applyAlignment="1" applyBorder="1" applyFont="1" applyNumberFormat="1">
      <alignment horizontal="center"/>
    </xf>
    <xf borderId="20" fillId="5" fontId="1" numFmtId="166" xfId="0" applyAlignment="1" applyBorder="1" applyFont="1" applyNumberFormat="1">
      <alignment horizontal="center"/>
    </xf>
    <xf borderId="21" fillId="4" fontId="9" numFmtId="3" xfId="0" applyAlignment="1" applyBorder="1" applyFont="1" applyNumberFormat="1">
      <alignment horizontal="center"/>
    </xf>
    <xf borderId="1" fillId="4" fontId="9" numFmtId="3" xfId="0" applyAlignment="1" applyBorder="1" applyFont="1" applyNumberFormat="1">
      <alignment horizontal="center"/>
    </xf>
    <xf borderId="25" fillId="5" fontId="1" numFmtId="4" xfId="0" applyAlignment="1" applyBorder="1" applyFont="1" applyNumberFormat="1">
      <alignment horizontal="center" shrinkToFit="0" wrapText="1"/>
    </xf>
    <xf borderId="26" fillId="5" fontId="1" numFmtId="4" xfId="0" applyAlignment="1" applyBorder="1" applyFont="1" applyNumberFormat="1">
      <alignment horizontal="center" shrinkToFit="0" wrapText="1"/>
    </xf>
    <xf borderId="27" fillId="5" fontId="1" numFmtId="4" xfId="0" applyAlignment="1" applyBorder="1" applyFont="1" applyNumberFormat="1">
      <alignment horizontal="center" shrinkToFit="0" wrapText="1"/>
    </xf>
    <xf borderId="26" fillId="5" fontId="1" numFmtId="4" xfId="0" applyAlignment="1" applyBorder="1" applyFont="1" applyNumberFormat="1">
      <alignment horizontal="center"/>
    </xf>
    <xf borderId="27" fillId="5" fontId="1" numFmtId="4" xfId="0" applyAlignment="1" applyBorder="1" applyFont="1" applyNumberFormat="1">
      <alignment horizontal="center"/>
    </xf>
    <xf borderId="25" fillId="5" fontId="1" numFmtId="4" xfId="0" applyAlignment="1" applyBorder="1" applyFont="1" applyNumberFormat="1">
      <alignment horizontal="center"/>
    </xf>
    <xf borderId="1" fillId="5" fontId="1" numFmtId="49" xfId="0" applyAlignment="1" applyBorder="1" applyFont="1" applyNumberFormat="1">
      <alignment shrinkToFit="0" wrapText="1"/>
    </xf>
    <xf borderId="0" fillId="0" fontId="1" numFmtId="1" xfId="0" applyAlignment="1" applyFont="1" applyNumberFormat="1">
      <alignment shrinkToFit="0" wrapText="1"/>
    </xf>
    <xf borderId="21" fillId="5" fontId="1" numFmtId="165" xfId="0" applyAlignment="1" applyBorder="1" applyFont="1" applyNumberFormat="1">
      <alignment horizontal="center"/>
    </xf>
    <xf borderId="1" fillId="5" fontId="1" numFmtId="165" xfId="0" applyAlignment="1" applyBorder="1" applyFont="1" applyNumberFormat="1">
      <alignment horizontal="center"/>
    </xf>
    <xf borderId="20" fillId="5" fontId="1" numFmtId="165" xfId="0" applyAlignment="1" applyBorder="1" applyFont="1" applyNumberFormat="1">
      <alignment horizontal="center"/>
    </xf>
    <xf borderId="1" fillId="3" fontId="8" numFmtId="2" xfId="0" applyAlignment="1" applyBorder="1" applyFont="1" applyNumberFormat="1">
      <alignment shrinkToFit="0" wrapText="1"/>
    </xf>
    <xf borderId="14" fillId="3" fontId="8" numFmtId="170" xfId="0" applyBorder="1" applyFont="1" applyNumberFormat="1"/>
    <xf borderId="15" fillId="3" fontId="8" numFmtId="170" xfId="0" applyBorder="1" applyFont="1" applyNumberFormat="1"/>
    <xf borderId="21" fillId="3" fontId="8" numFmtId="0" xfId="0" applyAlignment="1" applyBorder="1" applyFont="1">
      <alignment horizontal="center" shrinkToFit="0" wrapText="1"/>
    </xf>
    <xf borderId="1" fillId="3" fontId="8" numFmtId="9" xfId="0" applyAlignment="1" applyBorder="1" applyFont="1" applyNumberFormat="1">
      <alignment horizontal="center" shrinkToFit="0" wrapText="1"/>
    </xf>
    <xf borderId="1" fillId="3" fontId="8" numFmtId="170" xfId="0" applyAlignment="1" applyBorder="1" applyFont="1" applyNumberFormat="1">
      <alignment horizontal="center" shrinkToFit="0" wrapText="1"/>
    </xf>
    <xf borderId="20" fillId="3" fontId="8" numFmtId="170" xfId="0" applyAlignment="1" applyBorder="1" applyFont="1" applyNumberFormat="1">
      <alignment horizontal="center" shrinkToFit="0" wrapText="1"/>
    </xf>
    <xf borderId="20" fillId="3" fontId="8" numFmtId="9" xfId="0" applyAlignment="1" applyBorder="1" applyFont="1" applyNumberFormat="1">
      <alignment horizontal="center" shrinkToFit="0" wrapText="1"/>
    </xf>
    <xf borderId="19" fillId="3" fontId="8" numFmtId="170" xfId="0" applyAlignment="1" applyBorder="1" applyFont="1" applyNumberFormat="1">
      <alignment horizontal="center" shrinkToFit="0" wrapText="1"/>
    </xf>
    <xf borderId="21" fillId="10" fontId="1" numFmtId="3" xfId="0" applyAlignment="1" applyBorder="1" applyFont="1" applyNumberFormat="1">
      <alignment horizontal="center"/>
    </xf>
    <xf borderId="1" fillId="10" fontId="1" numFmtId="170" xfId="0" applyAlignment="1" applyBorder="1" applyFont="1" applyNumberFormat="1">
      <alignment horizontal="center"/>
    </xf>
    <xf borderId="20" fillId="10" fontId="1" numFmtId="170" xfId="0" applyAlignment="1" applyBorder="1" applyFont="1" applyNumberFormat="1">
      <alignment horizontal="center"/>
    </xf>
    <xf borderId="20" fillId="10" fontId="1" numFmtId="1" xfId="0" applyAlignment="1" applyBorder="1" applyFont="1" applyNumberFormat="1">
      <alignment horizontal="center"/>
    </xf>
    <xf borderId="19" fillId="10" fontId="1" numFmtId="9" xfId="0" applyAlignment="1" applyBorder="1" applyFont="1" applyNumberFormat="1">
      <alignment horizontal="center"/>
    </xf>
    <xf borderId="19" fillId="10" fontId="1" numFmtId="166" xfId="0" applyAlignment="1" applyBorder="1" applyFont="1" applyNumberFormat="1">
      <alignment horizontal="center"/>
    </xf>
    <xf borderId="25" fillId="10" fontId="1" numFmtId="3" xfId="0" applyAlignment="1" applyBorder="1" applyFont="1" applyNumberFormat="1">
      <alignment horizontal="center"/>
    </xf>
    <xf borderId="26" fillId="10" fontId="1" numFmtId="1" xfId="0" applyAlignment="1" applyBorder="1" applyFont="1" applyNumberFormat="1">
      <alignment horizontal="center"/>
    </xf>
    <xf borderId="26" fillId="10" fontId="1" numFmtId="0" xfId="0" applyAlignment="1" applyBorder="1" applyFont="1">
      <alignment horizontal="center"/>
    </xf>
    <xf borderId="27" fillId="10" fontId="1" numFmtId="0" xfId="0" applyAlignment="1" applyBorder="1" applyFont="1">
      <alignment horizontal="center"/>
    </xf>
    <xf borderId="27" fillId="10" fontId="1" numFmtId="1" xfId="0" applyAlignment="1" applyBorder="1" applyFont="1" applyNumberFormat="1">
      <alignment horizontal="center"/>
    </xf>
    <xf borderId="25" fillId="10" fontId="1" numFmtId="1" xfId="0" applyAlignment="1" applyBorder="1" applyFont="1" applyNumberFormat="1">
      <alignment horizontal="center"/>
    </xf>
    <xf borderId="48" fillId="3" fontId="8" numFmtId="0" xfId="0" applyAlignment="1" applyBorder="1" applyFont="1">
      <alignment horizontal="center" shrinkToFit="0" wrapText="1"/>
    </xf>
    <xf borderId="37" fillId="3" fontId="8" numFmtId="0" xfId="0" applyAlignment="1" applyBorder="1" applyFont="1">
      <alignment shrinkToFit="0" wrapText="1"/>
    </xf>
    <xf borderId="21" fillId="3" fontId="8" numFmtId="0" xfId="0" applyAlignment="1" applyBorder="1" applyFont="1">
      <alignment horizontal="center"/>
    </xf>
    <xf borderId="49" fillId="0" fontId="3" numFmtId="0" xfId="0" applyBorder="1" applyFont="1"/>
    <xf borderId="0" fillId="0" fontId="11" numFmtId="166" xfId="0" applyFont="1" applyNumberFormat="1"/>
    <xf borderId="27" fillId="5" fontId="1" numFmtId="166" xfId="0" applyAlignment="1" applyBorder="1" applyFont="1" applyNumberFormat="1">
      <alignment horizontal="center"/>
    </xf>
    <xf borderId="28" fillId="5" fontId="1" numFmtId="166" xfId="0" applyAlignment="1" applyBorder="1" applyFont="1" applyNumberFormat="1">
      <alignment horizontal="center"/>
    </xf>
    <xf borderId="0" fillId="0" fontId="1" numFmtId="172" xfId="0" applyFont="1" applyNumberFormat="1"/>
    <xf borderId="25" fillId="10" fontId="1" numFmtId="9" xfId="0" applyBorder="1" applyFont="1" applyNumberFormat="1"/>
    <xf borderId="26" fillId="10" fontId="1" numFmtId="9" xfId="0" applyBorder="1" applyFont="1" applyNumberFormat="1"/>
    <xf borderId="27" fillId="10" fontId="1" numFmtId="9" xfId="0" applyBorder="1" applyFont="1" applyNumberFormat="1"/>
    <xf borderId="21" fillId="3" fontId="8" numFmtId="0" xfId="0" applyAlignment="1" applyBorder="1" applyFont="1">
      <alignment shrinkToFit="0" wrapText="1"/>
    </xf>
    <xf borderId="21" fillId="5" fontId="1" numFmtId="166" xfId="0" applyBorder="1" applyFont="1" applyNumberFormat="1"/>
    <xf borderId="20" fillId="5" fontId="1" numFmtId="166" xfId="0" applyBorder="1" applyFont="1" applyNumberFormat="1"/>
    <xf borderId="25" fillId="5" fontId="1" numFmtId="166" xfId="0" applyBorder="1" applyFont="1" applyNumberFormat="1"/>
    <xf borderId="0" fillId="0" fontId="1" numFmtId="173" xfId="0" applyFont="1" applyNumberFormat="1"/>
    <xf borderId="50" fillId="3" fontId="8" numFmtId="0" xfId="0" applyAlignment="1" applyBorder="1" applyFont="1">
      <alignment shrinkToFit="0" wrapText="1"/>
    </xf>
    <xf borderId="51" fillId="3" fontId="1" numFmtId="0" xfId="0" applyBorder="1" applyFont="1"/>
    <xf borderId="52" fillId="3" fontId="1" numFmtId="0" xfId="0" applyBorder="1" applyFont="1"/>
    <xf borderId="53" fillId="0" fontId="1" numFmtId="0" xfId="0" applyAlignment="1" applyBorder="1" applyFont="1">
      <alignment shrinkToFit="0" wrapText="1"/>
    </xf>
    <xf borderId="54" fillId="0" fontId="1" numFmtId="0" xfId="0" applyBorder="1" applyFont="1"/>
    <xf borderId="55" fillId="10" fontId="1" numFmtId="0" xfId="0" applyBorder="1" applyFont="1"/>
    <xf borderId="55" fillId="10" fontId="1" numFmtId="0" xfId="0" applyAlignment="1" applyBorder="1" applyFont="1">
      <alignment shrinkToFit="0" wrapText="1"/>
    </xf>
    <xf borderId="53" fillId="0" fontId="1" numFmtId="0" xfId="0" applyBorder="1" applyFont="1"/>
    <xf borderId="55" fillId="4" fontId="8" numFmtId="0" xfId="0" applyBorder="1" applyFont="1"/>
    <xf borderId="55" fillId="4" fontId="1" numFmtId="0" xfId="0" applyBorder="1" applyFont="1"/>
    <xf borderId="1" fillId="5" fontId="1" numFmtId="2" xfId="0" applyBorder="1" applyFont="1" applyNumberFormat="1"/>
    <xf borderId="55" fillId="4" fontId="1" numFmtId="0" xfId="0" applyAlignment="1" applyBorder="1" applyFont="1">
      <alignment shrinkToFit="0" wrapText="1"/>
    </xf>
    <xf borderId="0" fillId="0" fontId="1" numFmtId="170" xfId="0" applyFont="1" applyNumberFormat="1"/>
    <xf borderId="1" fillId="5" fontId="8" numFmtId="170" xfId="0" applyBorder="1" applyFont="1" applyNumberFormat="1"/>
    <xf borderId="55" fillId="4" fontId="8" numFmtId="0" xfId="0" applyAlignment="1" applyBorder="1" applyFont="1">
      <alignment shrinkToFit="0" wrapText="1"/>
    </xf>
    <xf borderId="56" fillId="4" fontId="1" numFmtId="0" xfId="0" applyBorder="1" applyFont="1"/>
    <xf borderId="57" fillId="5" fontId="1" numFmtId="170" xfId="0" applyBorder="1" applyFont="1" applyNumberFormat="1"/>
    <xf borderId="57" fillId="5" fontId="8" numFmtId="170" xfId="0" applyBorder="1" applyFont="1" applyNumberFormat="1"/>
    <xf borderId="58" fillId="0" fontId="1" numFmtId="0" xfId="0" applyBorder="1" applyFont="1"/>
    <xf borderId="13" fillId="4" fontId="1" numFmtId="0" xfId="0" applyBorder="1" applyFont="1"/>
    <xf borderId="14" fillId="4" fontId="1" numFmtId="0" xfId="0" applyAlignment="1" applyBorder="1" applyFont="1">
      <alignment shrinkToFit="0" wrapText="1"/>
    </xf>
    <xf borderId="15" fillId="4" fontId="1" numFmtId="0" xfId="0" applyAlignment="1" applyBorder="1" applyFont="1">
      <alignment shrinkToFit="0" wrapText="1"/>
    </xf>
    <xf borderId="21" fillId="4" fontId="1" numFmtId="0" xfId="0" applyBorder="1" applyFont="1"/>
    <xf borderId="20" fillId="10" fontId="1" numFmtId="9" xfId="0" applyBorder="1" applyFont="1" applyNumberFormat="1"/>
    <xf borderId="25" fillId="4" fontId="1" numFmtId="0" xfId="0" applyBorder="1" applyFont="1"/>
    <xf borderId="26" fillId="5" fontId="1" numFmtId="2" xfId="0" applyBorder="1" applyFont="1" applyNumberFormat="1"/>
    <xf borderId="0" fillId="0" fontId="1" numFmtId="2" xfId="0" applyFont="1" applyNumberFormat="1"/>
    <xf borderId="1" fillId="5" fontId="1" numFmtId="10" xfId="0" applyBorder="1" applyFont="1" applyNumberFormat="1"/>
    <xf borderId="20" fillId="5" fontId="1" numFmtId="10" xfId="0" applyBorder="1" applyFont="1" applyNumberFormat="1"/>
    <xf borderId="26" fillId="5" fontId="1" numFmtId="10" xfId="0" applyBorder="1" applyFont="1" applyNumberFormat="1"/>
    <xf borderId="27" fillId="5" fontId="1" numFmtId="10" xfId="0" applyBorder="1" applyFont="1" applyNumberFormat="1"/>
    <xf borderId="1" fillId="10" fontId="1" numFmtId="9" xfId="0" applyBorder="1" applyFont="1" applyNumberFormat="1"/>
    <xf borderId="42" fillId="4" fontId="1" numFmtId="0" xfId="0" applyAlignment="1" applyBorder="1" applyFont="1">
      <alignment shrinkToFit="0" wrapText="1"/>
    </xf>
    <xf borderId="43" fillId="10" fontId="1" numFmtId="9" xfId="0" applyBorder="1" applyFont="1" applyNumberFormat="1"/>
    <xf borderId="44" fillId="10" fontId="1" numFmtId="9" xfId="0" applyBorder="1" applyFont="1" applyNumberFormat="1"/>
    <xf borderId="0" fillId="0" fontId="8" numFmtId="0" xfId="0" applyAlignment="1" applyFont="1">
      <alignment shrinkToFit="0" wrapText="1"/>
    </xf>
    <xf borderId="20" fillId="4" fontId="8" numFmtId="0" xfId="0" applyBorder="1" applyFont="1"/>
    <xf borderId="21" fillId="5" fontId="1" numFmtId="3" xfId="0" applyBorder="1" applyFont="1" applyNumberFormat="1"/>
    <xf borderId="1" fillId="5" fontId="1" numFmtId="3" xfId="0" applyBorder="1" applyFont="1" applyNumberFormat="1"/>
    <xf borderId="20" fillId="5" fontId="1" numFmtId="3" xfId="0" applyBorder="1" applyFont="1" applyNumberFormat="1"/>
    <xf borderId="25" fillId="5" fontId="1" numFmtId="3" xfId="0" applyBorder="1" applyFont="1" applyNumberFormat="1"/>
    <xf borderId="26" fillId="5" fontId="1" numFmtId="3" xfId="0" applyBorder="1" applyFont="1" applyNumberFormat="1"/>
    <xf borderId="27" fillId="5" fontId="1" numFmtId="3" xfId="0" applyBorder="1" applyFont="1" applyNumberFormat="1"/>
    <xf borderId="13" fillId="4" fontId="8" numFmtId="0" xfId="0" applyAlignment="1" applyBorder="1" applyFont="1">
      <alignment shrinkToFit="0" wrapText="1"/>
    </xf>
    <xf borderId="21" fillId="5" fontId="1" numFmtId="173" xfId="0" applyBorder="1" applyFont="1" applyNumberFormat="1"/>
    <xf borderId="1" fillId="5" fontId="1" numFmtId="173" xfId="0" applyBorder="1" applyFont="1" applyNumberFormat="1"/>
    <xf borderId="20" fillId="5" fontId="1" numFmtId="173" xfId="0" applyBorder="1" applyFont="1" applyNumberFormat="1"/>
    <xf borderId="25" fillId="5" fontId="1" numFmtId="173" xfId="0" applyBorder="1" applyFont="1" applyNumberFormat="1"/>
    <xf borderId="26" fillId="5" fontId="1" numFmtId="173" xfId="0" applyBorder="1" applyFont="1" applyNumberFormat="1"/>
    <xf borderId="27" fillId="5" fontId="1" numFmtId="173" xfId="0" applyBorder="1" applyFont="1" applyNumberFormat="1"/>
    <xf borderId="13" fillId="11" fontId="1" numFmtId="0" xfId="0" applyAlignment="1" applyBorder="1" applyFont="1">
      <alignment shrinkToFit="0" wrapText="1"/>
    </xf>
    <xf borderId="14" fillId="11" fontId="1" numFmtId="0" xfId="0" applyAlignment="1" applyBorder="1" applyFont="1">
      <alignment shrinkToFit="0" wrapText="1"/>
    </xf>
    <xf borderId="14" fillId="11" fontId="1" numFmtId="0" xfId="0" applyAlignment="1" applyBorder="1" applyFont="1">
      <alignment horizontal="center" shrinkToFit="0" wrapText="1"/>
    </xf>
    <xf borderId="15" fillId="11" fontId="1" numFmtId="0" xfId="0" applyAlignment="1" applyBorder="1" applyFont="1">
      <alignment shrinkToFit="0" wrapText="1"/>
    </xf>
    <xf borderId="21" fillId="2" fontId="1" numFmtId="0" xfId="0" applyAlignment="1" applyBorder="1" applyFont="1">
      <alignment shrinkToFit="0" wrapText="1"/>
    </xf>
    <xf borderId="1" fillId="15" fontId="1" numFmtId="0" xfId="0" applyAlignment="1" applyBorder="1" applyFill="1" applyFont="1">
      <alignment horizontal="center"/>
    </xf>
    <xf borderId="1" fillId="15" fontId="1" numFmtId="166" xfId="0" applyAlignment="1" applyBorder="1" applyFont="1" applyNumberFormat="1">
      <alignment horizontal="center"/>
    </xf>
    <xf borderId="20" fillId="15" fontId="1" numFmtId="0" xfId="0" applyBorder="1" applyFont="1"/>
    <xf borderId="26" fillId="15" fontId="1" numFmtId="0" xfId="0" applyAlignment="1" applyBorder="1" applyFont="1">
      <alignment horizontal="center"/>
    </xf>
    <xf borderId="26" fillId="15" fontId="1" numFmtId="0" xfId="0" applyBorder="1" applyFont="1"/>
    <xf borderId="27" fillId="15" fontId="1" numFmtId="0" xfId="0" applyBorder="1" applyFont="1"/>
    <xf borderId="14" fillId="3" fontId="8" numFmtId="0" xfId="0" applyAlignment="1" applyBorder="1" applyFont="1">
      <alignment shrinkToFit="0" vertical="center" wrapText="1"/>
    </xf>
    <xf borderId="14" fillId="5" fontId="10" numFmtId="164" xfId="0" applyAlignment="1" applyBorder="1" applyFont="1" applyNumberFormat="1">
      <alignment horizontal="center"/>
    </xf>
    <xf borderId="15" fillId="5" fontId="10" numFmtId="164" xfId="0" applyAlignment="1" applyBorder="1" applyFont="1" applyNumberFormat="1">
      <alignment horizontal="center"/>
    </xf>
    <xf borderId="0" fillId="0" fontId="10" numFmtId="1" xfId="0" applyAlignment="1" applyFont="1" applyNumberFormat="1">
      <alignment horizontal="center"/>
    </xf>
    <xf borderId="13" fillId="3" fontId="1" numFmtId="0" xfId="0" applyAlignment="1" applyBorder="1" applyFont="1">
      <alignment shrinkToFit="0" wrapText="1"/>
    </xf>
    <xf borderId="25" fillId="4" fontId="8" numFmtId="0" xfId="0" applyAlignment="1" applyBorder="1" applyFont="1">
      <alignment shrinkToFit="0" wrapText="1"/>
    </xf>
    <xf borderId="25" fillId="5" fontId="1" numFmtId="9" xfId="0" applyAlignment="1" applyBorder="1" applyFont="1" applyNumberFormat="1">
      <alignment horizontal="center"/>
    </xf>
    <xf borderId="26" fillId="5" fontId="1" numFmtId="9" xfId="0" applyAlignment="1" applyBorder="1" applyFont="1" applyNumberFormat="1">
      <alignment horizontal="center"/>
    </xf>
    <xf borderId="27" fillId="5" fontId="1" numFmtId="9" xfId="0" applyAlignment="1" applyBorder="1" applyFont="1" applyNumberFormat="1">
      <alignment horizontal="center"/>
    </xf>
    <xf borderId="21" fillId="4" fontId="8" numFmtId="0" xfId="0" applyAlignment="1" applyBorder="1" applyFont="1">
      <alignment shrinkToFit="0" wrapText="1"/>
    </xf>
    <xf borderId="22" fillId="0" fontId="1" numFmtId="1" xfId="0" applyBorder="1" applyFont="1" applyNumberFormat="1"/>
    <xf borderId="23" fillId="0" fontId="1" numFmtId="1" xfId="0" applyBorder="1" applyFont="1" applyNumberFormat="1"/>
    <xf borderId="25" fillId="4" fontId="12" numFmtId="0" xfId="0" applyAlignment="1" applyBorder="1" applyFont="1">
      <alignment shrinkToFit="0" wrapText="1"/>
    </xf>
    <xf borderId="35" fillId="0" fontId="1" numFmtId="1" xfId="0" applyBorder="1" applyFont="1" applyNumberFormat="1"/>
    <xf borderId="33" fillId="0" fontId="1" numFmtId="1" xfId="0" applyBorder="1" applyFont="1" applyNumberFormat="1"/>
    <xf borderId="36" fillId="0" fontId="1" numFmtId="1" xfId="0" applyBorder="1" applyFont="1" applyNumberFormat="1"/>
    <xf borderId="42" fillId="3" fontId="8" numFmtId="0" xfId="0" applyAlignment="1" applyBorder="1" applyFont="1">
      <alignment shrinkToFit="0" wrapText="1"/>
    </xf>
    <xf borderId="43" fillId="3" fontId="8" numFmtId="0" xfId="0" applyAlignment="1" applyBorder="1" applyFont="1">
      <alignment horizontal="center"/>
    </xf>
    <xf borderId="44" fillId="3" fontId="8" numFmtId="0" xfId="0" applyAlignment="1" applyBorder="1" applyFont="1">
      <alignment horizontal="center"/>
    </xf>
    <xf borderId="13" fillId="4" fontId="1" numFmtId="0" xfId="0" applyAlignment="1" applyBorder="1" applyFont="1">
      <alignment shrinkToFit="0" wrapText="1"/>
    </xf>
    <xf borderId="14" fillId="4" fontId="1" numFmtId="0" xfId="0" applyAlignment="1" applyBorder="1" applyFont="1">
      <alignment horizontal="center"/>
    </xf>
    <xf borderId="14" fillId="10" fontId="1" numFmtId="166" xfId="0" applyAlignment="1" applyBorder="1" applyFont="1" applyNumberFormat="1">
      <alignment horizontal="center"/>
    </xf>
    <xf borderId="15" fillId="10" fontId="1" numFmtId="166" xfId="0" applyAlignment="1" applyBorder="1" applyFont="1" applyNumberFormat="1">
      <alignment horizontal="center"/>
    </xf>
    <xf borderId="1" fillId="4" fontId="1" numFmtId="0" xfId="0" applyAlignment="1" applyBorder="1" applyFont="1">
      <alignment horizontal="center"/>
    </xf>
    <xf borderId="20" fillId="4" fontId="1" numFmtId="0" xfId="0" applyAlignment="1" applyBorder="1" applyFont="1">
      <alignment horizontal="center"/>
    </xf>
    <xf borderId="26" fillId="4" fontId="1" numFmtId="166" xfId="0" applyAlignment="1" applyBorder="1" applyFont="1" applyNumberFormat="1">
      <alignment horizontal="center"/>
    </xf>
    <xf borderId="42" fillId="3" fontId="8" numFmtId="0" xfId="0" applyAlignment="1" applyBorder="1" applyFont="1">
      <alignment shrinkToFit="0" vertical="center" wrapText="1"/>
    </xf>
    <xf borderId="43" fillId="3" fontId="8" numFmtId="0" xfId="0" applyAlignment="1" applyBorder="1" applyFont="1">
      <alignment shrinkToFit="0" vertical="center" wrapText="1"/>
    </xf>
    <xf borderId="26" fillId="4" fontId="1" numFmtId="0" xfId="0" applyAlignment="1" applyBorder="1" applyFont="1">
      <alignment shrinkToFit="0" wrapText="1"/>
    </xf>
    <xf borderId="21" fillId="3" fontId="9" numFmtId="165" xfId="0" applyAlignment="1" applyBorder="1" applyFont="1" applyNumberFormat="1">
      <alignment horizontal="center"/>
    </xf>
    <xf borderId="1" fillId="3" fontId="8" numFmtId="165" xfId="0" applyAlignment="1" applyBorder="1" applyFont="1" applyNumberFormat="1">
      <alignment horizontal="center"/>
    </xf>
    <xf borderId="20" fillId="3" fontId="8" numFmtId="165" xfId="0" applyAlignment="1" applyBorder="1" applyFont="1" applyNumberFormat="1">
      <alignment horizontal="center"/>
    </xf>
    <xf borderId="14" fillId="4" fontId="1" numFmtId="0" xfId="0" applyBorder="1" applyFont="1"/>
    <xf borderId="13" fillId="5" fontId="1" numFmtId="165" xfId="0" applyAlignment="1" applyBorder="1" applyFont="1" applyNumberFormat="1">
      <alignment horizontal="center"/>
    </xf>
    <xf borderId="14" fillId="5" fontId="1" numFmtId="165" xfId="0" applyAlignment="1" applyBorder="1" applyFont="1" applyNumberFormat="1">
      <alignment horizontal="center"/>
    </xf>
    <xf borderId="15" fillId="5" fontId="1" numFmtId="165" xfId="0" applyAlignment="1" applyBorder="1" applyFont="1" applyNumberFormat="1">
      <alignment horizontal="center"/>
    </xf>
    <xf borderId="26" fillId="5" fontId="1" numFmtId="166" xfId="0" applyAlignment="1" applyBorder="1" applyFont="1" applyNumberFormat="1">
      <alignment horizontal="center"/>
    </xf>
    <xf borderId="21" fillId="5" fontId="1" numFmtId="0" xfId="0" applyAlignment="1" applyBorder="1" applyFont="1">
      <alignment horizontal="center"/>
    </xf>
    <xf borderId="27" fillId="5" fontId="1" numFmtId="0" xfId="0" applyBorder="1" applyFont="1"/>
    <xf borderId="1" fillId="3" fontId="1" numFmtId="0" xfId="0" applyAlignment="1" applyBorder="1" applyFont="1">
      <alignment vertical="center"/>
    </xf>
    <xf borderId="1" fillId="10" fontId="1" numFmtId="165" xfId="0" applyAlignment="1" applyBorder="1" applyFont="1" applyNumberFormat="1">
      <alignment vertical="center"/>
    </xf>
    <xf borderId="1" fillId="10" fontId="1" numFmtId="0" xfId="0" applyAlignment="1" applyBorder="1" applyFont="1">
      <alignment vertical="center"/>
    </xf>
    <xf borderId="0" fillId="0" fontId="1" numFmtId="2" xfId="0" applyAlignment="1" applyFont="1" applyNumberFormat="1">
      <alignment vertical="center"/>
    </xf>
    <xf borderId="0" fillId="0" fontId="1" numFmtId="3" xfId="0" applyAlignment="1" applyFont="1" applyNumberFormat="1">
      <alignment vertical="center"/>
    </xf>
    <xf borderId="1" fillId="10" fontId="1" numFmtId="3" xfId="0" applyAlignment="1" applyBorder="1" applyFont="1" applyNumberFormat="1">
      <alignment horizontal="right"/>
    </xf>
    <xf borderId="1" fillId="10" fontId="21" numFmtId="3" xfId="0" applyAlignment="1" applyBorder="1" applyFont="1" applyNumberFormat="1">
      <alignment horizontal="right"/>
    </xf>
    <xf borderId="1" fillId="10" fontId="1" numFmtId="174" xfId="0" applyBorder="1" applyFont="1" applyNumberFormat="1"/>
    <xf borderId="1" fillId="9" fontId="1" numFmtId="3" xfId="0" applyBorder="1" applyFont="1" applyNumberFormat="1"/>
    <xf borderId="0" fillId="0" fontId="1" numFmtId="175" xfId="0" applyFont="1" applyNumberFormat="1"/>
    <xf borderId="1" fillId="9" fontId="1" numFmtId="9" xfId="0" applyBorder="1" applyFont="1" applyNumberFormat="1"/>
    <xf borderId="1" fillId="10" fontId="1" numFmtId="165" xfId="0" applyAlignment="1" applyBorder="1" applyFont="1" applyNumberFormat="1">
      <alignment horizontal="right"/>
    </xf>
    <xf borderId="1" fillId="9" fontId="1" numFmtId="3" xfId="0" applyAlignment="1" applyBorder="1" applyFont="1" applyNumberFormat="1">
      <alignment horizontal="right"/>
    </xf>
    <xf borderId="1" fillId="10" fontId="1" numFmtId="174" xfId="0" applyAlignment="1" applyBorder="1" applyFont="1" applyNumberFormat="1">
      <alignment horizontal="right"/>
    </xf>
    <xf borderId="1" fillId="10" fontId="1" numFmtId="9" xfId="0" applyAlignment="1" applyBorder="1" applyFont="1" applyNumberFormat="1">
      <alignment horizontal="right"/>
    </xf>
    <xf borderId="0" fillId="0" fontId="1" numFmtId="165" xfId="0" applyAlignment="1" applyFont="1" applyNumberFormat="1">
      <alignment horizontal="right"/>
    </xf>
    <xf borderId="0" fillId="0" fontId="1" numFmtId="9" xfId="0" applyAlignment="1" applyFont="1" applyNumberFormat="1">
      <alignment horizontal="right"/>
    </xf>
    <xf borderId="0" fillId="0" fontId="1" numFmtId="165" xfId="0" applyFont="1" applyNumberFormat="1"/>
    <xf borderId="1" fillId="4" fontId="8" numFmtId="0" xfId="0" applyAlignment="1" applyBorder="1" applyFont="1">
      <alignment vertical="center"/>
    </xf>
    <xf borderId="1" fillId="10" fontId="1" numFmtId="166" xfId="0" applyBorder="1" applyFont="1" applyNumberFormat="1"/>
    <xf borderId="1" fillId="10" fontId="22" numFmtId="3" xfId="0" applyAlignment="1" applyBorder="1" applyFont="1" applyNumberFormat="1">
      <alignment horizontal="right" vertical="top"/>
    </xf>
    <xf borderId="25" fillId="5" fontId="1" numFmtId="2" xfId="0" applyBorder="1" applyFont="1" applyNumberFormat="1"/>
    <xf borderId="27" fillId="5" fontId="1" numFmtId="2" xfId="0" applyBorder="1" applyFont="1" applyNumberFormat="1"/>
    <xf borderId="42" fillId="2" fontId="1" numFmtId="0" xfId="0" applyBorder="1" applyFont="1"/>
    <xf borderId="44" fillId="2" fontId="1" numFmtId="0" xfId="0" applyBorder="1" applyFont="1"/>
    <xf borderId="21" fillId="2" fontId="1" numFmtId="0" xfId="0" applyAlignment="1" applyBorder="1" applyFont="1">
      <alignment horizontal="center" vertical="center"/>
    </xf>
    <xf borderId="20" fillId="2" fontId="1" numFmtId="0" xfId="0" applyAlignment="1" applyBorder="1" applyFont="1">
      <alignment horizontal="center" vertical="center"/>
    </xf>
    <xf borderId="21" fillId="10" fontId="1" numFmtId="2" xfId="0" applyBorder="1" applyFont="1" applyNumberFormat="1"/>
    <xf borderId="20" fillId="10" fontId="1" numFmtId="2" xfId="0" applyBorder="1" applyFont="1" applyNumberFormat="1"/>
    <xf borderId="0" fillId="0" fontId="1" numFmtId="176" xfId="0" applyFont="1" applyNumberFormat="1"/>
    <xf borderId="21" fillId="10" fontId="1" numFmtId="177" xfId="0" applyBorder="1" applyFont="1" applyNumberFormat="1"/>
    <xf borderId="21" fillId="5" fontId="1" numFmtId="176" xfId="0" applyBorder="1" applyFont="1" applyNumberFormat="1"/>
    <xf borderId="20" fillId="5" fontId="1" numFmtId="176" xfId="0" applyBorder="1" applyFont="1" applyNumberFormat="1"/>
    <xf borderId="21" fillId="5" fontId="1" numFmtId="2" xfId="0" applyBorder="1" applyFont="1" applyNumberFormat="1"/>
    <xf borderId="20" fillId="5" fontId="1" numFmtId="2" xfId="0" applyBorder="1" applyFont="1" applyNumberFormat="1"/>
    <xf borderId="13" fillId="2" fontId="1" numFmtId="2" xfId="0" applyBorder="1" applyFont="1" applyNumberFormat="1"/>
    <xf borderId="14" fillId="2" fontId="1" numFmtId="2" xfId="0" applyBorder="1" applyFont="1" applyNumberFormat="1"/>
    <xf borderId="15" fillId="2" fontId="1" numFmtId="2" xfId="0" applyBorder="1" applyFont="1" applyNumberFormat="1"/>
    <xf borderId="25" fillId="10" fontId="1" numFmtId="2" xfId="0" applyBorder="1" applyFont="1" applyNumberFormat="1"/>
    <xf borderId="27" fillId="10" fontId="1" numFmtId="2" xfId="0" applyBorder="1" applyFont="1" applyNumberFormat="1"/>
    <xf borderId="42" fillId="16" fontId="1" numFmtId="0" xfId="0" applyBorder="1" applyFill="1" applyFont="1"/>
    <xf borderId="44" fillId="16" fontId="1" numFmtId="0" xfId="0" applyBorder="1" applyFont="1"/>
    <xf borderId="21" fillId="16" fontId="1" numFmtId="0" xfId="0" applyBorder="1" applyFont="1"/>
    <xf borderId="20" fillId="16" fontId="1" numFmtId="0" xfId="0" applyBorder="1" applyFont="1"/>
    <xf borderId="21" fillId="16" fontId="1" numFmtId="2" xfId="0" applyBorder="1" applyFont="1" applyNumberFormat="1"/>
    <xf borderId="20" fillId="16" fontId="1" numFmtId="2" xfId="0" applyBorder="1" applyFont="1" applyNumberFormat="1"/>
    <xf borderId="21" fillId="16" fontId="1" numFmtId="177" xfId="0" applyBorder="1" applyFont="1" applyNumberFormat="1"/>
    <xf borderId="21" fillId="16" fontId="1" numFmtId="176" xfId="0" applyBorder="1" applyFont="1" applyNumberFormat="1"/>
    <xf borderId="20" fillId="16" fontId="1" numFmtId="176" xfId="0" applyBorder="1" applyFont="1" applyNumberFormat="1"/>
    <xf borderId="25" fillId="16" fontId="1" numFmtId="2" xfId="0" applyBorder="1" applyFont="1" applyNumberFormat="1"/>
    <xf borderId="27" fillId="16" fontId="1" numFmtId="2" xfId="0" applyBorder="1" applyFont="1" applyNumberFormat="1"/>
    <xf borderId="13" fillId="16" fontId="1" numFmtId="0" xfId="0" applyBorder="1" applyFont="1"/>
    <xf borderId="15" fillId="16" fontId="1" numFmtId="0" xfId="0" applyBorder="1" applyFont="1"/>
    <xf borderId="21" fillId="2" fontId="1" numFmtId="2" xfId="0" applyBorder="1" applyFont="1" applyNumberFormat="1"/>
    <xf borderId="20" fillId="2" fontId="1" numFmtId="2" xfId="0" applyBorder="1" applyFont="1" applyNumberFormat="1"/>
    <xf borderId="21" fillId="2" fontId="26" numFmtId="2" xfId="0" applyBorder="1" applyFont="1" applyNumberFormat="1"/>
    <xf borderId="21" fillId="2" fontId="1" numFmtId="176" xfId="0" applyBorder="1" applyFont="1" applyNumberFormat="1"/>
    <xf borderId="20" fillId="2" fontId="1" numFmtId="176" xfId="0" applyBorder="1" applyFont="1" applyNumberFormat="1"/>
    <xf borderId="25" fillId="2" fontId="1" numFmtId="2" xfId="0" applyBorder="1" applyFont="1" applyNumberFormat="1"/>
    <xf borderId="27" fillId="2" fontId="1" numFmtId="2" xfId="0" applyBorder="1" applyFont="1" applyNumberFormat="1"/>
    <xf borderId="0" fillId="0" fontId="27" numFmtId="0" xfId="0" applyFont="1"/>
    <xf borderId="0" fillId="0" fontId="1" numFmtId="17" xfId="0" applyAlignment="1" applyFont="1" applyNumberFormat="1">
      <alignment horizontal="center"/>
    </xf>
    <xf borderId="0" fillId="0" fontId="28" numFmtId="0" xfId="0" applyFont="1"/>
    <xf borderId="0" fillId="0" fontId="29" numFmtId="3" xfId="0" applyFont="1" applyNumberFormat="1"/>
    <xf borderId="0" fillId="0" fontId="30" numFmtId="0" xfId="0" applyAlignment="1" applyFont="1">
      <alignment vertical="center"/>
    </xf>
    <xf borderId="1" fillId="11" fontId="1" numFmtId="49" xfId="0" applyAlignment="1" applyBorder="1" applyFont="1" applyNumberFormat="1">
      <alignment shrinkToFit="0" wrapText="1"/>
    </xf>
    <xf borderId="1" fillId="11" fontId="8" numFmtId="49" xfId="0" applyAlignment="1" applyBorder="1" applyFont="1" applyNumberFormat="1">
      <alignment shrinkToFit="0" wrapText="1"/>
    </xf>
    <xf borderId="1" fillId="16" fontId="1" numFmtId="49" xfId="0" applyAlignment="1" applyBorder="1" applyFont="1" applyNumberFormat="1">
      <alignment horizontal="left" shrinkToFit="0" vertical="top"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externalLink" Target="externalLinks/externalLink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externalLink" Target="externalLinks/externalLink3.xml"/><Relationship Id="rId25" Type="http://schemas.openxmlformats.org/officeDocument/2006/relationships/externalLink" Target="externalLinks/externalLink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Code versus CHM results for gas homes</a:t>
            </a:r>
          </a:p>
        </c:rich>
      </c:tx>
      <c:overlay val="0"/>
    </c:title>
    <c:plotArea>
      <c:layout/>
      <c:barChart>
        <c:barDir val="col"/>
        <c:ser>
          <c:idx val="0"/>
          <c:order val="0"/>
          <c:tx>
            <c:v>CODE</c:v>
          </c:tx>
          <c:spPr>
            <a:solidFill>
              <a:schemeClr val="accent1"/>
            </a:solidFill>
            <a:ln cmpd="sng">
              <a:solidFill>
                <a:srgbClr val="000000"/>
              </a:solidFill>
            </a:ln>
          </c:spPr>
          <c:cat>
            <c:strRef>
              <c:f>'Reduce heating hours'!$B$19:$C$19</c:f>
            </c:strRef>
          </c:cat>
          <c:val>
            <c:numRef>
              <c:f>'Reduce heating hours'!$B$20:$C$20</c:f>
              <c:numCache/>
            </c:numRef>
          </c:val>
        </c:ser>
        <c:ser>
          <c:idx val="1"/>
          <c:order val="1"/>
          <c:tx>
            <c:v>CHM</c:v>
          </c:tx>
          <c:spPr>
            <a:solidFill>
              <a:schemeClr val="accent2"/>
            </a:solidFill>
            <a:ln cmpd="sng">
              <a:solidFill>
                <a:srgbClr val="000000"/>
              </a:solidFill>
            </a:ln>
          </c:spPr>
          <c:cat>
            <c:strRef>
              <c:f>'Reduce heating hours'!$B$19:$C$19</c:f>
            </c:strRef>
          </c:cat>
          <c:val>
            <c:numRef>
              <c:f>'Reduce heating hours'!$B$21:$C$21</c:f>
              <c:numCache/>
            </c:numRef>
          </c:val>
        </c:ser>
        <c:axId val="584417887"/>
        <c:axId val="1417548324"/>
      </c:barChart>
      <c:catAx>
        <c:axId val="58441788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417548324"/>
      </c:catAx>
      <c:valAx>
        <c:axId val="1417548324"/>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Energy saivngs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84417887"/>
      </c:valAx>
    </c:plotArea>
    <c:legend>
      <c:legendPos val="b"/>
      <c:overlay val="0"/>
      <c:txPr>
        <a:bodyPr/>
        <a:lstStyle/>
        <a:p>
          <a:pPr lvl="0">
            <a:defRPr b="0" i="0" sz="90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Heating efficiency by flow temperature</a:t>
            </a:r>
          </a:p>
        </c:rich>
      </c:tx>
      <c:overlay val="0"/>
    </c:title>
    <c:plotArea>
      <c:layout/>
      <c:scatterChart>
        <c:scatterStyle val="lineMarker"/>
        <c:ser>
          <c:idx val="0"/>
          <c:order val="0"/>
          <c:tx>
            <c:v>HHIC</c:v>
          </c:tx>
          <c:spPr>
            <a:ln>
              <a:noFill/>
            </a:ln>
          </c:spPr>
          <c:marker>
            <c:symbol val="circle"/>
            <c:size val="7"/>
            <c:spPr>
              <a:solidFill>
                <a:schemeClr val="accent1"/>
              </a:solidFill>
              <a:ln cmpd="sng">
                <a:solidFill>
                  <a:schemeClr val="accent1"/>
                </a:solidFill>
              </a:ln>
            </c:spPr>
          </c:marker>
          <c:xVal>
            <c:numRef>
              <c:f>'Reducing radiator temp'!$K$15:$K$20</c:f>
            </c:numRef>
          </c:xVal>
          <c:yVal>
            <c:numRef>
              <c:f>'Reducing radiator temp'!$N$15:$N$20</c:f>
              <c:numCache/>
            </c:numRef>
          </c:yVal>
        </c:ser>
        <c:ser>
          <c:idx val="1"/>
          <c:order val="1"/>
          <c:tx>
            <c:v>CIBSE</c:v>
          </c:tx>
          <c:spPr>
            <a:ln>
              <a:noFill/>
            </a:ln>
          </c:spPr>
          <c:marker>
            <c:symbol val="circle"/>
            <c:size val="7"/>
            <c:spPr>
              <a:solidFill>
                <a:schemeClr val="accent2"/>
              </a:solidFill>
              <a:ln cmpd="sng">
                <a:solidFill>
                  <a:schemeClr val="accent2"/>
                </a:solidFill>
              </a:ln>
            </c:spPr>
          </c:marker>
          <c:xVal>
            <c:numRef>
              <c:f>'Reducing radiator temp'!$K$15:$K$20</c:f>
            </c:numRef>
          </c:xVal>
          <c:yVal>
            <c:numRef>
              <c:f>'Reducing radiator temp'!$O$15:$O$20</c:f>
              <c:numCache/>
            </c:numRef>
          </c:yVal>
        </c:ser>
        <c:ser>
          <c:idx val="2"/>
          <c:order val="2"/>
          <c:tx>
            <c:v>Heat Geek</c:v>
          </c:tx>
          <c:spPr>
            <a:ln>
              <a:noFill/>
            </a:ln>
          </c:spPr>
          <c:marker>
            <c:symbol val="circle"/>
            <c:size val="7"/>
            <c:spPr>
              <a:solidFill>
                <a:schemeClr val="accent3"/>
              </a:solidFill>
              <a:ln cmpd="sng">
                <a:solidFill>
                  <a:schemeClr val="accent3"/>
                </a:solidFill>
              </a:ln>
            </c:spPr>
          </c:marker>
          <c:xVal>
            <c:numRef>
              <c:f>'Reducing radiator temp'!$K$15:$K$20</c:f>
            </c:numRef>
          </c:xVal>
          <c:yVal>
            <c:numRef>
              <c:f>'Reducing radiator temp'!$P$15:$P$20</c:f>
              <c:numCache/>
            </c:numRef>
          </c:yVal>
        </c:ser>
        <c:ser>
          <c:idx val="3"/>
          <c:order val="3"/>
          <c:tx>
            <c:v>Salford</c:v>
          </c:tx>
          <c:spPr>
            <a:ln>
              <a:noFill/>
            </a:ln>
          </c:spPr>
          <c:marker>
            <c:symbol val="circle"/>
            <c:size val="7"/>
            <c:spPr>
              <a:solidFill>
                <a:schemeClr val="accent4"/>
              </a:solidFill>
              <a:ln cmpd="sng">
                <a:solidFill>
                  <a:schemeClr val="accent4"/>
                </a:solidFill>
              </a:ln>
            </c:spPr>
          </c:marker>
          <c:xVal>
            <c:numRef>
              <c:f>'Reducing radiator temp'!$K$15:$K$20</c:f>
            </c:numRef>
          </c:xVal>
          <c:yVal>
            <c:numRef>
              <c:f>'Reducing radiator temp'!$Q$15:$Q$20</c:f>
              <c:numCache/>
            </c:numRef>
          </c:yVal>
        </c:ser>
        <c:dLbls>
          <c:showLegendKey val="0"/>
          <c:showVal val="0"/>
          <c:showCatName val="0"/>
          <c:showSerName val="0"/>
          <c:showPercent val="0"/>
          <c:showBubbleSize val="0"/>
        </c:dLbls>
        <c:axId val="766213365"/>
        <c:axId val="560032573"/>
      </c:scatterChart>
      <c:valAx>
        <c:axId val="766213365"/>
        <c:scaling>
          <c:orientation val="minMax"/>
          <c:max val="80.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60032573"/>
      </c:valAx>
      <c:valAx>
        <c:axId val="5600325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766213365"/>
      </c:valAx>
    </c:plotArea>
    <c:legend>
      <c:legendPos val="b"/>
      <c:overlay val="0"/>
      <c:txPr>
        <a:bodyPr/>
        <a:lstStyle/>
        <a:p>
          <a:pPr lvl="0">
            <a:defRPr b="0" i="0" sz="90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Bill savings from removing obstructions from  radiators</a:t>
            </a:r>
          </a:p>
        </c:rich>
      </c:tx>
      <c:overlay val="0"/>
    </c:title>
    <c:plotArea>
      <c:layout/>
      <c:lineChart>
        <c:ser>
          <c:idx val="0"/>
          <c:order val="0"/>
          <c:tx>
            <c:v>median</c:v>
          </c:tx>
          <c:spPr>
            <a:ln cmpd="sng" w="28575">
              <a:solidFill>
                <a:schemeClr val="accent2"/>
              </a:solidFill>
            </a:ln>
          </c:spPr>
          <c:marker>
            <c:symbol val="none"/>
          </c:marker>
          <c:cat>
            <c:strRef>
              <c:f>'Moving furniture'!$B$12:$B$14</c:f>
            </c:strRef>
          </c:cat>
          <c:val>
            <c:numRef>
              <c:f>'Moving furniture'!$C$12:$C$14</c:f>
              <c:numCache/>
            </c:numRef>
          </c:val>
          <c:smooth val="0"/>
        </c:ser>
        <c:ser>
          <c:idx val="1"/>
          <c:order val="1"/>
          <c:tx>
            <c:v>lower quartile</c:v>
          </c:tx>
          <c:spPr>
            <a:ln cmpd="sng" w="28575">
              <a:solidFill>
                <a:srgbClr val="FF0000">
                  <a:alpha val="100000"/>
                </a:srgbClr>
              </a:solidFill>
              <a:prstDash val="dash"/>
            </a:ln>
          </c:spPr>
          <c:marker>
            <c:symbol val="none"/>
          </c:marker>
          <c:cat>
            <c:strRef>
              <c:f>'Moving furniture'!$B$12:$B$14</c:f>
            </c:strRef>
          </c:cat>
          <c:val>
            <c:numRef>
              <c:f>'Moving furniture'!$D$12:$D$14</c:f>
              <c:numCache/>
            </c:numRef>
          </c:val>
          <c:smooth val="0"/>
        </c:ser>
        <c:ser>
          <c:idx val="2"/>
          <c:order val="2"/>
          <c:tx>
            <c:v>upper quartile</c:v>
          </c:tx>
          <c:spPr>
            <a:ln cmpd="sng" w="28575">
              <a:solidFill>
                <a:srgbClr val="FF0000">
                  <a:alpha val="100000"/>
                </a:srgbClr>
              </a:solidFill>
              <a:prstDash val="dash"/>
            </a:ln>
          </c:spPr>
          <c:marker>
            <c:symbol val="none"/>
          </c:marker>
          <c:cat>
            <c:strRef>
              <c:f>'Moving furniture'!$B$12:$B$14</c:f>
            </c:strRef>
          </c:cat>
          <c:val>
            <c:numRef>
              <c:f>'Moving furniture'!$E$12:$E$14</c:f>
              <c:numCache/>
            </c:numRef>
          </c:val>
          <c:smooth val="0"/>
        </c:ser>
        <c:ser>
          <c:idx val="3"/>
          <c:order val="3"/>
          <c:tx>
            <c:v>weighted mean</c:v>
          </c:tx>
          <c:spPr>
            <a:ln cmpd="sng" w="28575">
              <a:solidFill>
                <a:schemeClr val="accent5"/>
              </a:solidFill>
            </a:ln>
          </c:spPr>
          <c:marker>
            <c:symbol val="none"/>
          </c:marker>
          <c:cat>
            <c:strRef>
              <c:f>'Moving furniture'!$B$12:$B$14</c:f>
            </c:strRef>
          </c:cat>
          <c:val>
            <c:numRef>
              <c:f>'Moving furniture'!$F$12:$F$14</c:f>
              <c:numCache/>
            </c:numRef>
          </c:val>
          <c:smooth val="0"/>
        </c:ser>
        <c:axId val="321238574"/>
        <c:axId val="1722051086"/>
      </c:lineChart>
      <c:catAx>
        <c:axId val="321238574"/>
        <c:scaling>
          <c:orientation val="minMax"/>
        </c:scaling>
        <c:delete val="0"/>
        <c:axPos val="b"/>
        <c:title>
          <c:tx>
            <c:rich>
              <a:bodyPr/>
              <a:lstStyle/>
              <a:p>
                <a:pPr lvl="0">
                  <a:defRPr b="0" i="0" sz="1000">
                    <a:solidFill>
                      <a:srgbClr val="000000"/>
                    </a:solidFill>
                    <a:latin typeface="+mn-lt"/>
                  </a:defRPr>
                </a:pPr>
                <a:r>
                  <a:rPr b="0" i="0" sz="1000">
                    <a:solidFill>
                      <a:srgbClr val="000000"/>
                    </a:solidFill>
                    <a:latin typeface="+mn-lt"/>
                  </a:rPr>
                  <a:t>Reduction in radiator capacity</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722051086"/>
      </c:catAx>
      <c:valAx>
        <c:axId val="1722051086"/>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Reduction in energu bill</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321238574"/>
      </c:valAx>
    </c:plotArea>
    <c:legend>
      <c:legendPos val="b"/>
      <c:overlay val="0"/>
      <c:txPr>
        <a:bodyPr/>
        <a:lstStyle/>
        <a:p>
          <a:pPr lvl="0">
            <a:defRPr b="0" i="0" sz="90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Annual savings by area of window (using CHM)</a:t>
            </a:r>
          </a:p>
        </c:rich>
      </c:tx>
      <c:overlay val="0"/>
    </c:title>
    <c:plotArea>
      <c:layout/>
      <c:barChart>
        <c:barDir val="col"/>
        <c:ser>
          <c:idx val="0"/>
          <c:order val="0"/>
          <c:tx>
            <c:v>Closing curtains on single glazed windows</c:v>
          </c:tx>
          <c:spPr>
            <a:solidFill>
              <a:schemeClr val="accent1"/>
            </a:solidFill>
            <a:ln cmpd="sng">
              <a:solidFill>
                <a:srgbClr val="000000"/>
              </a:solidFill>
            </a:ln>
          </c:spPr>
          <c:cat>
            <c:strRef>
              <c:f>'Closing curtains'!$B$10:$J$10</c:f>
            </c:strRef>
          </c:cat>
          <c:val>
            <c:numRef>
              <c:f>'Closing curtains'!$B$11:$J$11</c:f>
              <c:numCache/>
            </c:numRef>
          </c:val>
        </c:ser>
        <c:ser>
          <c:idx val="1"/>
          <c:order val="1"/>
          <c:tx>
            <c:v>Closing curtains on double glazed windows</c:v>
          </c:tx>
          <c:spPr>
            <a:solidFill>
              <a:schemeClr val="accent2"/>
            </a:solidFill>
            <a:ln cmpd="sng">
              <a:solidFill>
                <a:srgbClr val="000000"/>
              </a:solidFill>
            </a:ln>
          </c:spPr>
          <c:cat>
            <c:strRef>
              <c:f>'Closing curtains'!$B$10:$J$10</c:f>
            </c:strRef>
          </c:cat>
          <c:val>
            <c:numRef>
              <c:f>'Closing curtains'!$B$12:$J$12</c:f>
              <c:numCache/>
            </c:numRef>
          </c:val>
        </c:ser>
        <c:axId val="1796228353"/>
        <c:axId val="1595585901"/>
      </c:barChart>
      <c:catAx>
        <c:axId val="179622835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595585901"/>
      </c:catAx>
      <c:valAx>
        <c:axId val="1595585901"/>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Annual savings per m2 window kWh/year/m2</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796228353"/>
      </c:valAx>
    </c:plotArea>
    <c:legend>
      <c:legendPos val="b"/>
      <c:overlay val="0"/>
      <c:txPr>
        <a:bodyPr/>
        <a:lstStyle/>
        <a:p>
          <a:pPr lvl="0">
            <a:defRPr b="0" i="0" sz="9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Savings by area of window</a:t>
            </a:r>
          </a:p>
        </c:rich>
      </c:tx>
      <c:overlay val="0"/>
    </c:title>
    <c:plotArea>
      <c:layout/>
      <c:barChart>
        <c:barDir val="col"/>
        <c:ser>
          <c:idx val="0"/>
          <c:order val="0"/>
          <c:tx>
            <c:v>Film on single-glazed windows</c:v>
          </c:tx>
          <c:spPr>
            <a:solidFill>
              <a:schemeClr val="accent1"/>
            </a:solidFill>
            <a:ln cmpd="sng">
              <a:solidFill>
                <a:srgbClr val="000000"/>
              </a:solidFill>
            </a:ln>
          </c:spPr>
          <c:cat>
            <c:strRef>
              <c:f>'Window treatments'!$B$10:$J$10</c:f>
            </c:strRef>
          </c:cat>
          <c:val>
            <c:numRef>
              <c:f>'Window treatments'!$B$11:$J$11</c:f>
              <c:numCache/>
            </c:numRef>
          </c:val>
        </c:ser>
        <c:ser>
          <c:idx val="1"/>
          <c:order val="1"/>
          <c:tx>
            <c:v>Film on double-glazed windows</c:v>
          </c:tx>
          <c:spPr>
            <a:solidFill>
              <a:schemeClr val="accent2"/>
            </a:solidFill>
            <a:ln cmpd="sng">
              <a:solidFill>
                <a:srgbClr val="000000"/>
              </a:solidFill>
            </a:ln>
          </c:spPr>
          <c:cat>
            <c:strRef>
              <c:f>'Window treatments'!$B$10:$J$10</c:f>
            </c:strRef>
          </c:cat>
          <c:val>
            <c:numRef>
              <c:f>'Window treatments'!$B$12:$J$12</c:f>
              <c:numCache/>
            </c:numRef>
          </c:val>
        </c:ser>
        <c:axId val="1430529468"/>
        <c:axId val="308555292"/>
      </c:barChart>
      <c:catAx>
        <c:axId val="143052946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308555292"/>
      </c:catAx>
      <c:valAx>
        <c:axId val="308555292"/>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kWh/m2 window</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430529468"/>
      </c:valAx>
    </c:plotArea>
    <c:legend>
      <c:legendPos val="b"/>
      <c:overlay val="0"/>
      <c:txPr>
        <a:bodyPr/>
        <a:lstStyle/>
        <a:p>
          <a:pPr lvl="0">
            <a:defRPr b="0" i="0" sz="90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Gas homes, variation in savings for insulation upgrades to 150mm  or 300mm</a:t>
            </a:r>
          </a:p>
        </c:rich>
      </c:tx>
      <c:overlay val="0"/>
    </c:title>
    <c:plotArea>
      <c:layout/>
      <c:barChart>
        <c:barDir val="col"/>
        <c:ser>
          <c:idx val="0"/>
          <c:order val="0"/>
          <c:tx>
            <c:v>Low</c:v>
          </c:tx>
          <c:spPr>
            <a:solidFill>
              <a:schemeClr val="accent3"/>
            </a:solidFill>
            <a:ln cmpd="sng">
              <a:solidFill>
                <a:srgbClr val="000000"/>
              </a:solidFill>
            </a:ln>
          </c:spPr>
          <c:cat>
            <c:strRef>
              <c:f>'Loft insulation'!$A$12:$A$17</c:f>
            </c:strRef>
          </c:cat>
          <c:val>
            <c:numRef>
              <c:f>'Loft insulation'!$D$12:$D$17</c:f>
              <c:numCache/>
            </c:numRef>
          </c:val>
        </c:ser>
        <c:ser>
          <c:idx val="1"/>
          <c:order val="1"/>
          <c:tx>
            <c:v>mean</c:v>
          </c:tx>
          <c:spPr>
            <a:solidFill>
              <a:schemeClr val="accent4"/>
            </a:solidFill>
            <a:ln cmpd="sng">
              <a:solidFill>
                <a:srgbClr val="000000"/>
              </a:solidFill>
            </a:ln>
          </c:spPr>
          <c:cat>
            <c:strRef>
              <c:f>'Loft insulation'!$A$12:$A$17</c:f>
            </c:strRef>
          </c:cat>
          <c:val>
            <c:numRef>
              <c:f>'Loft insulation'!$E$12:$E$17</c:f>
              <c:numCache/>
            </c:numRef>
          </c:val>
        </c:ser>
        <c:ser>
          <c:idx val="2"/>
          <c:order val="2"/>
          <c:tx>
            <c:v>High</c:v>
          </c:tx>
          <c:spPr>
            <a:solidFill>
              <a:schemeClr val="accent5"/>
            </a:solidFill>
            <a:ln cmpd="sng">
              <a:solidFill>
                <a:srgbClr val="000000"/>
              </a:solidFill>
            </a:ln>
          </c:spPr>
          <c:cat>
            <c:strRef>
              <c:f>'Loft insulation'!$A$12:$A$17</c:f>
            </c:strRef>
          </c:cat>
          <c:val>
            <c:numRef>
              <c:f>'Loft insulation'!$F$12:$F$17</c:f>
              <c:numCache/>
            </c:numRef>
          </c:val>
        </c:ser>
        <c:axId val="765124213"/>
        <c:axId val="1550865087"/>
      </c:barChart>
      <c:catAx>
        <c:axId val="76512421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550865087"/>
      </c:catAx>
      <c:valAx>
        <c:axId val="1550865087"/>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Annual savings by loft area (kWh/year/m2)</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765124213"/>
      </c:valAx>
    </c:plotArea>
    <c:legend>
      <c:legendPos val="b"/>
      <c:overlay val="0"/>
      <c:txPr>
        <a:bodyPr/>
        <a:lstStyle/>
        <a:p>
          <a:pPr lvl="0">
            <a:defRPr b="0" i="0" sz="900">
              <a:solidFill>
                <a:srgbClr val="1A1A1A"/>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Mean household savings by fuel</a:t>
            </a:r>
          </a:p>
        </c:rich>
      </c:tx>
      <c:overlay val="0"/>
    </c:title>
    <c:plotArea>
      <c:layout/>
      <c:barChart>
        <c:barDir val="col"/>
        <c:ser>
          <c:idx val="0"/>
          <c:order val="0"/>
          <c:tx>
            <c:v>Gas</c:v>
          </c:tx>
          <c:spPr>
            <a:solidFill>
              <a:schemeClr val="accent1"/>
            </a:solidFill>
            <a:ln cmpd="sng">
              <a:solidFill>
                <a:srgbClr val="000000"/>
              </a:solidFill>
            </a:ln>
          </c:spPr>
          <c:cat>
            <c:strRef>
              <c:f>'Loft insulation'!$A$12:$A$17</c:f>
            </c:strRef>
          </c:cat>
          <c:val>
            <c:numRef>
              <c:f>'Loft insulation'!$E$12:$E$17</c:f>
              <c:numCache/>
            </c:numRef>
          </c:val>
        </c:ser>
        <c:ser>
          <c:idx val="1"/>
          <c:order val="1"/>
          <c:tx>
            <c:v>Electricity</c:v>
          </c:tx>
          <c:spPr>
            <a:solidFill>
              <a:schemeClr val="accent2"/>
            </a:solidFill>
            <a:ln cmpd="sng">
              <a:solidFill>
                <a:srgbClr val="000000"/>
              </a:solidFill>
            </a:ln>
          </c:spPr>
          <c:cat>
            <c:strRef>
              <c:f>'Loft insulation'!$A$12:$A$17</c:f>
            </c:strRef>
          </c:cat>
          <c:val>
            <c:numRef>
              <c:f>'Loft insulation'!$J$12:$J$17</c:f>
              <c:numCache/>
            </c:numRef>
          </c:val>
        </c:ser>
        <c:axId val="1642463077"/>
        <c:axId val="1553274929"/>
      </c:barChart>
      <c:catAx>
        <c:axId val="164246307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553274929"/>
      </c:catAx>
      <c:valAx>
        <c:axId val="1553274929"/>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Annual savings by loft area (kWh/year/m2)</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642463077"/>
      </c:valAx>
    </c:plotArea>
    <c:legend>
      <c:legendPos val="b"/>
      <c:overlay val="0"/>
      <c:txPr>
        <a:bodyPr/>
        <a:lstStyle/>
        <a:p>
          <a:pPr lvl="0">
            <a:defRPr b="0" i="0" sz="900">
              <a:solidFill>
                <a:srgbClr val="1A1A1A"/>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Housing stock: loft insulation levels by fuel type</a:t>
            </a:r>
          </a:p>
        </c:rich>
      </c:tx>
      <c:overlay val="0"/>
    </c:title>
    <c:plotArea>
      <c:layout/>
      <c:barChart>
        <c:barDir val="col"/>
        <c:ser>
          <c:idx val="0"/>
          <c:order val="0"/>
          <c:tx>
            <c:v>Gas</c:v>
          </c:tx>
          <c:spPr>
            <a:solidFill>
              <a:schemeClr val="accent1"/>
            </a:solidFill>
            <a:ln cmpd="sng">
              <a:solidFill>
                <a:srgbClr val="000000"/>
              </a:solidFill>
            </a:ln>
          </c:spPr>
          <c:cat>
            <c:strRef>
              <c:f>'Loft insulation'!$P$26:$P$32</c:f>
            </c:strRef>
          </c:cat>
          <c:val>
            <c:numRef>
              <c:f>'Loft insulation'!$Q$26:$Q$32</c:f>
              <c:numCache/>
            </c:numRef>
          </c:val>
        </c:ser>
        <c:ser>
          <c:idx val="1"/>
          <c:order val="1"/>
          <c:tx>
            <c:v>Oil</c:v>
          </c:tx>
          <c:spPr>
            <a:solidFill>
              <a:schemeClr val="accent2"/>
            </a:solidFill>
            <a:ln cmpd="sng">
              <a:solidFill>
                <a:srgbClr val="000000"/>
              </a:solidFill>
            </a:ln>
          </c:spPr>
          <c:cat>
            <c:strRef>
              <c:f>'Loft insulation'!$P$26:$P$32</c:f>
            </c:strRef>
          </c:cat>
          <c:val>
            <c:numRef>
              <c:f>'Loft insulation'!$R$26:$R$32</c:f>
              <c:numCache/>
            </c:numRef>
          </c:val>
        </c:ser>
        <c:ser>
          <c:idx val="2"/>
          <c:order val="2"/>
          <c:tx>
            <c:v>Electricity</c:v>
          </c:tx>
          <c:spPr>
            <a:solidFill>
              <a:schemeClr val="accent3"/>
            </a:solidFill>
            <a:ln cmpd="sng">
              <a:solidFill>
                <a:srgbClr val="000000"/>
              </a:solidFill>
            </a:ln>
          </c:spPr>
          <c:cat>
            <c:strRef>
              <c:f>'Loft insulation'!$P$26:$P$32</c:f>
            </c:strRef>
          </c:cat>
          <c:val>
            <c:numRef>
              <c:f>'Loft insulation'!$S$26:$S$32</c:f>
              <c:numCache/>
            </c:numRef>
          </c:val>
        </c:ser>
        <c:axId val="1311563765"/>
        <c:axId val="2003887018"/>
      </c:barChart>
      <c:catAx>
        <c:axId val="131156376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2003887018"/>
      </c:catAx>
      <c:valAx>
        <c:axId val="200388701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311563765"/>
      </c:valAx>
    </c:plotArea>
    <c:legend>
      <c:legendPos val="b"/>
      <c:overlay val="0"/>
      <c:txPr>
        <a:bodyPr/>
        <a:lstStyle/>
        <a:p>
          <a:pPr lvl="0">
            <a:defRPr b="0" i="0" sz="900">
              <a:solidFill>
                <a:srgbClr val="1A1A1A"/>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scatterChart>
        <c:scatterStyle val="lineMarker"/>
        <c:varyColors val="0"/>
        <c:ser>
          <c:idx val="0"/>
          <c:order val="0"/>
          <c:tx>
            <c:v>Savings (W/m2)</c:v>
          </c:tx>
          <c:spPr>
            <a:ln>
              <a:noFill/>
            </a:ln>
          </c:spPr>
          <c:marker>
            <c:symbol val="circle"/>
            <c:size val="7"/>
            <c:spPr>
              <a:solidFill>
                <a:schemeClr val="accent1"/>
              </a:solidFill>
              <a:ln cmpd="sng">
                <a:solidFill>
                  <a:schemeClr val="accent1"/>
                </a:solidFill>
              </a:ln>
            </c:spPr>
          </c:marker>
          <c:xVal>
            <c:numRef>
              <c:f>'Radiator foil'!$H$30:$H$32</c:f>
            </c:numRef>
          </c:xVal>
          <c:yVal>
            <c:numRef>
              <c:f>'Radiator foil'!$I$30:$I$32</c:f>
              <c:numCache/>
            </c:numRef>
          </c:yVal>
        </c:ser>
        <c:dLbls>
          <c:showLegendKey val="0"/>
          <c:showVal val="0"/>
          <c:showCatName val="0"/>
          <c:showSerName val="0"/>
          <c:showPercent val="0"/>
          <c:showBubbleSize val="0"/>
        </c:dLbls>
        <c:axId val="2013295179"/>
        <c:axId val="553348124"/>
      </c:scatterChart>
      <c:valAx>
        <c:axId val="2013295179"/>
        <c:scaling>
          <c:orientation val="minMax"/>
        </c:scaling>
        <c:delete val="0"/>
        <c:axPos val="b"/>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Wall U-value</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53348124"/>
      </c:valAx>
      <c:valAx>
        <c:axId val="553348124"/>
        <c:scaling>
          <c:orientation val="minMax"/>
        </c:scaling>
        <c:delete val="0"/>
        <c:axPos val="l"/>
        <c:majorGridlines>
          <c:spPr>
            <a:ln>
              <a:solidFill>
                <a:srgbClr val="B7B7B7"/>
              </a:solidFill>
            </a:ln>
          </c:spPr>
        </c:majorGridlines>
        <c:title>
          <c:tx>
            <c:rich>
              <a:bodyPr/>
              <a:lstStyle/>
              <a:p>
                <a:pPr lvl="0">
                  <a:defRPr b="0" i="0" sz="1000">
                    <a:solidFill>
                      <a:srgbClr val="000000"/>
                    </a:solidFill>
                    <a:latin typeface="+mn-lt"/>
                  </a:defRPr>
                </a:pPr>
                <a:r>
                  <a:rPr b="0" i="0" sz="1000">
                    <a:solidFill>
                      <a:srgbClr val="000000"/>
                    </a:solidFill>
                    <a:latin typeface="+mn-lt"/>
                  </a:rPr>
                  <a:t>Heat savings W/m2</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013295179"/>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 Id="rId2" Type="http://schemas.openxmlformats.org/officeDocument/2006/relationships/chart" Target="../charts/chart7.xml"/><Relationship Id="rId3"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5.png"/><Relationship Id="rId3" Type="http://schemas.openxmlformats.org/officeDocument/2006/relationships/image" Target="../media/image4.png"/><Relationship Id="rId4" Type="http://schemas.openxmlformats.org/officeDocument/2006/relationships/image" Target="../media/image9.png"/><Relationship Id="rId5"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323850</xdr:colOff>
      <xdr:row>2</xdr:row>
      <xdr:rowOff>314325</xdr:rowOff>
    </xdr:from>
    <xdr:ext cx="180975" cy="285750"/>
    <xdr:sp>
      <xdr:nvSpPr>
        <xdr:cNvPr id="3" name="Shape 3"/>
        <xdr:cNvSpPr/>
      </xdr:nvSpPr>
      <xdr:spPr>
        <a:xfrm>
          <a:off x="5255513" y="3637125"/>
          <a:ext cx="180975" cy="28575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504825</xdr:colOff>
      <xdr:row>2</xdr:row>
      <xdr:rowOff>590550</xdr:rowOff>
    </xdr:from>
    <xdr:ext cx="3486150" cy="628650"/>
    <xdr:sp>
      <xdr:nvSpPr>
        <xdr:cNvPr id="4" name="Shape 4"/>
        <xdr:cNvSpPr/>
      </xdr:nvSpPr>
      <xdr:spPr>
        <a:xfrm>
          <a:off x="3607688" y="3470438"/>
          <a:ext cx="3476625" cy="6191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257175</xdr:colOff>
      <xdr:row>2</xdr:row>
      <xdr:rowOff>857250</xdr:rowOff>
    </xdr:from>
    <xdr:ext cx="4924425" cy="571500"/>
    <xdr:sp>
      <xdr:nvSpPr>
        <xdr:cNvPr id="5" name="Shape 5"/>
        <xdr:cNvSpPr/>
      </xdr:nvSpPr>
      <xdr:spPr>
        <a:xfrm>
          <a:off x="2888550" y="3499013"/>
          <a:ext cx="4914900" cy="561975"/>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447675</xdr:colOff>
      <xdr:row>2</xdr:row>
      <xdr:rowOff>638175</xdr:rowOff>
    </xdr:from>
    <xdr:ext cx="4067175" cy="800100"/>
    <xdr:sp>
      <xdr:nvSpPr>
        <xdr:cNvPr id="6" name="Shape 6"/>
        <xdr:cNvSpPr txBox="1"/>
      </xdr:nvSpPr>
      <xdr:spPr>
        <a:xfrm>
          <a:off x="3312413" y="3381622"/>
          <a:ext cx="4067174" cy="796757"/>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rPr b="1" lang="en-US" sz="1500">
              <a:solidFill>
                <a:srgbClr val="130BBB"/>
              </a:solidFill>
              <a:latin typeface="Calibri"/>
              <a:ea typeface="Calibri"/>
              <a:cs typeface="Calibri"/>
              <a:sym typeface="Calibri"/>
            </a:rPr>
            <a:t>Free and low-cost energy-saving actions to bring down bills, improve energy security and help the planet</a:t>
          </a:r>
          <a:endParaRPr sz="1400"/>
        </a:p>
      </xdr:txBody>
    </xdr:sp>
    <xdr:clientData fLocksWithSheet="0"/>
  </xdr:oneCellAnchor>
  <xdr:oneCellAnchor>
    <xdr:from>
      <xdr:col>1</xdr:col>
      <xdr:colOff>0</xdr:colOff>
      <xdr:row>1</xdr:row>
      <xdr:rowOff>161925</xdr:rowOff>
    </xdr:from>
    <xdr:ext cx="6400800" cy="420052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476250</xdr:colOff>
      <xdr:row>2</xdr:row>
      <xdr:rowOff>219075</xdr:rowOff>
    </xdr:from>
    <xdr:ext cx="1371600" cy="3905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819150</xdr:colOff>
      <xdr:row>4</xdr:row>
      <xdr:rowOff>152400</xdr:rowOff>
    </xdr:from>
    <xdr:ext cx="5153025" cy="2895600"/>
    <xdr:graphicFrame>
      <xdr:nvGraphicFramePr>
        <xdr:cNvPr id="203869964" name="Chart 4"/>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314325</xdr:colOff>
      <xdr:row>5</xdr:row>
      <xdr:rowOff>723900</xdr:rowOff>
    </xdr:from>
    <xdr:ext cx="5086350" cy="1676400"/>
    <xdr:graphicFrame>
      <xdr:nvGraphicFramePr>
        <xdr:cNvPr id="254791282" name="Chart 5"/>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66675</xdr:colOff>
      <xdr:row>2</xdr:row>
      <xdr:rowOff>200025</xdr:rowOff>
    </xdr:from>
    <xdr:ext cx="5133975" cy="876300"/>
    <xdr:graphicFrame>
      <xdr:nvGraphicFramePr>
        <xdr:cNvPr id="2009523276" name="Chart 6"/>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2</xdr:row>
      <xdr:rowOff>209550</xdr:rowOff>
    </xdr:from>
    <xdr:ext cx="5429250" cy="904875"/>
    <xdr:graphicFrame>
      <xdr:nvGraphicFramePr>
        <xdr:cNvPr id="902363890" name="Chart 7"/>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2</xdr:col>
      <xdr:colOff>57150</xdr:colOff>
      <xdr:row>5</xdr:row>
      <xdr:rowOff>1038225</xdr:rowOff>
    </xdr:from>
    <xdr:ext cx="5143500" cy="2276475"/>
    <xdr:graphicFrame>
      <xdr:nvGraphicFramePr>
        <xdr:cNvPr id="518162605" name="Chart 8"/>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13</xdr:row>
      <xdr:rowOff>38100</xdr:rowOff>
    </xdr:from>
    <xdr:ext cx="5429250" cy="2571750"/>
    <xdr:graphicFrame>
      <xdr:nvGraphicFramePr>
        <xdr:cNvPr id="390078434" name="Chart 9"/>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457200</xdr:colOff>
      <xdr:row>34</xdr:row>
      <xdr:rowOff>47625</xdr:rowOff>
    </xdr:from>
    <xdr:ext cx="7943850" cy="33623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85725</xdr:colOff>
      <xdr:row>18</xdr:row>
      <xdr:rowOff>47625</xdr:rowOff>
    </xdr:from>
    <xdr:ext cx="7038975" cy="2171700"/>
    <xdr:graphicFrame>
      <xdr:nvGraphicFramePr>
        <xdr:cNvPr id="296618173"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3743325</xdr:colOff>
      <xdr:row>4</xdr:row>
      <xdr:rowOff>9525</xdr:rowOff>
    </xdr:from>
    <xdr:ext cx="6429375" cy="19240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266700</xdr:colOff>
      <xdr:row>22</xdr:row>
      <xdr:rowOff>95250</xdr:rowOff>
    </xdr:from>
    <xdr:ext cx="4705350" cy="2971800"/>
    <xdr:graphicFrame>
      <xdr:nvGraphicFramePr>
        <xdr:cNvPr id="1027160941" name="Chart 2"/>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12</xdr:col>
      <xdr:colOff>742950</xdr:colOff>
      <xdr:row>10</xdr:row>
      <xdr:rowOff>323850</xdr:rowOff>
    </xdr:from>
    <xdr:ext cx="8620125" cy="4086225"/>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22</xdr:col>
      <xdr:colOff>285750</xdr:colOff>
      <xdr:row>10</xdr:row>
      <xdr:rowOff>247650</xdr:rowOff>
    </xdr:from>
    <xdr:ext cx="10096500" cy="47339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11</xdr:col>
      <xdr:colOff>314325</xdr:colOff>
      <xdr:row>82</xdr:row>
      <xdr:rowOff>47625</xdr:rowOff>
    </xdr:from>
    <xdr:ext cx="7581900" cy="4219575"/>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19</xdr:col>
      <xdr:colOff>333375</xdr:colOff>
      <xdr:row>84</xdr:row>
      <xdr:rowOff>161925</xdr:rowOff>
    </xdr:from>
    <xdr:ext cx="8705850" cy="3810000"/>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266700</xdr:colOff>
      <xdr:row>5</xdr:row>
      <xdr:rowOff>28575</xdr:rowOff>
    </xdr:from>
    <xdr:ext cx="4819650" cy="733425"/>
    <xdr:pic>
      <xdr:nvPicPr>
        <xdr:cNvPr descr="Chart&#10;&#10;Description automatically generated"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8</xdr:row>
      <xdr:rowOff>19050</xdr:rowOff>
    </xdr:from>
    <xdr:ext cx="5505450" cy="2828925"/>
    <xdr:graphicFrame>
      <xdr:nvGraphicFramePr>
        <xdr:cNvPr id="753594681" name="Chart 3"/>
        <xdr:cNvGraphicFramePr/>
      </xdr:nvGraphicFramePr>
      <xdr:xfrm>
        <a:off x="0" y="0"/>
        <a:ext cx="0" cy="0"/>
      </xdr:xfrm>
      <a:graphic>
        <a:graphicData uri="http://schemas.openxmlformats.org/drawingml/2006/chart">
          <c:chart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rver\User_Data\server\User_Data\Users\nicolaterry\consulting\nesta\Priority%20list%20of%20lit%20review%2020.6.22%20revised%20(j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colaterry\consulting\nesta\CAR-NESTA%20Heating%20Modelling-v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P\Downloads\CAR-NESTA%20Heating%20Modelling-v13a.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Refrig. Assumptions+Calcs"/>
      <sheetName val="Hot Water Assumptions+Calcs"/>
      <sheetName val="Washing Assumptions+Calc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Assumptions"/>
    </sheetNames>
    <sheetDataSet>
      <sheetData sheetId="0"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ummary"/>
      <sheetName val="Reducing radiator temp"/>
      <sheetName val="Reduce heating hours"/>
      <sheetName val="Turn off keep-hot"/>
      <sheetName val="Reducing DHW temperature"/>
      <sheetName val="Moving furniture"/>
      <sheetName val="Closing curtains"/>
      <sheetName val="Window treatments"/>
      <sheetName val="Loft insulation"/>
      <sheetName val="Radiator foil"/>
      <sheetName val="Smart thermostats"/>
      <sheetName val="Assumptions"/>
      <sheetName val="Tariffs"/>
      <sheetName val="References"/>
      <sheetName val="Modelling Notes"/>
      <sheetName val="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1" Type="http://schemas.openxmlformats.org/officeDocument/2006/relationships/hyperlink" Target="https://myboiler.com/opentherm/opentherm-boilers-and-controls/" TargetMode="External"/><Relationship Id="rId10" Type="http://schemas.openxmlformats.org/officeDocument/2006/relationships/hyperlink" Target="https://www.ons.gov.uk/peoplepopulationandcommunity/wellbeing/bulletins/publicopinionsandsocialtrendsgreatbritain/22juneto3july2022" TargetMode="External"/><Relationship Id="rId13" Type="http://schemas.openxmlformats.org/officeDocument/2006/relationships/hyperlink" Target="https://statswales.gov.wales/Catalogue/Local-Government/Finance/Council-Tax/Dwellings/counciltaxdwellings-by-localauthority" TargetMode="External"/><Relationship Id="rId12" Type="http://schemas.openxmlformats.org/officeDocument/2006/relationships/hyperlink" Target="https://www.radflek.com/_webedit/uploaded-files/All%20Files/Radflek_FinalReport.pdf" TargetMode="External"/><Relationship Id="rId1" Type="http://schemas.openxmlformats.org/officeDocument/2006/relationships/hyperlink" Target="https://discovery.ucl.ac.uk/id/eprint/10065409/1/GJB_Thesis_postViva_v2_submission.pdf" TargetMode="External"/><Relationship Id="rId2" Type="http://schemas.openxmlformats.org/officeDocument/2006/relationships/hyperlink" Target="https://www.gov.uk/government/publications/heat-storage-and-distribution-systems-hds" TargetMode="External"/><Relationship Id="rId3" Type="http://schemas.openxmlformats.org/officeDocument/2006/relationships/hyperlink" Target="https://assets.publishing.service.gov.uk/government/uploads/system/uploads/attachment_data/file/1055629/Energy_Report_2019-20.pdf" TargetMode="External"/><Relationship Id="rId4" Type="http://schemas.openxmlformats.org/officeDocument/2006/relationships/hyperlink" Target="https://www.gov.uk/government/statistics/english-housing-survey-2020-to-2021-energy" TargetMode="External"/><Relationship Id="rId9" Type="http://schemas.openxmlformats.org/officeDocument/2006/relationships/hyperlink" Target="https://www.ons.gov.uk/peoplepopulationandcommunity/populationandmigration/populationestimates/datasets/populationestimatesforukenglandandwalesscotlandandnorthernireland" TargetMode="External"/><Relationship Id="rId15" Type="http://schemas.openxmlformats.org/officeDocument/2006/relationships/drawing" Target="../drawings/drawing18.xml"/><Relationship Id="rId14" Type="http://schemas.openxmlformats.org/officeDocument/2006/relationships/hyperlink" Target="https://gov.wales/sites/default/files/statistics-and-research/2019-10/welsh-housing-conditions-survey-energy-efficiency-dwellings-april-2017-march-2018-795.pdf" TargetMode="External"/><Relationship Id="rId5" Type="http://schemas.openxmlformats.org/officeDocument/2006/relationships/hyperlink" Target="https://www.gov.uk/government/collections/government-conversion-factors-for-company-reporting" TargetMode="External"/><Relationship Id="rId6" Type="http://schemas.openxmlformats.org/officeDocument/2006/relationships/hyperlink" Target="https://www.hhic.org.uk/uploads/6165409B9D4C9.pdf" TargetMode="External"/><Relationship Id="rId7" Type="http://schemas.openxmlformats.org/officeDocument/2006/relationships/hyperlink" Target="https://www.nihe.gov.uk/Working-With-Us/Research/House-Condition-Survey" TargetMode="External"/><Relationship Id="rId8" Type="http://schemas.openxmlformats.org/officeDocument/2006/relationships/hyperlink" Target="https://www.ons.gov.uk/peoplepopulationandcommunity/birthsdeathsandmarriages/families/bulletins/familiesandhouseholds/2020"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0" width="8.78"/>
    <col customWidth="1" min="11" max="11" width="21.44"/>
    <col customWidth="1" min="12" max="17" width="8.78"/>
    <col customWidth="1" min="18" max="18" width="0.78"/>
    <col customWidth="1" min="19" max="32" width="8.7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ht="170.25" customHeight="1">
      <c r="A3" s="1"/>
      <c r="B3" s="1"/>
      <c r="C3" s="1"/>
      <c r="D3" s="1"/>
      <c r="E3" s="1"/>
      <c r="F3" s="1"/>
      <c r="G3" s="1"/>
      <c r="H3" s="1"/>
      <c r="I3" s="1"/>
      <c r="J3" s="1"/>
      <c r="K3" s="2" t="s">
        <v>0</v>
      </c>
      <c r="L3" s="3"/>
      <c r="M3" s="3"/>
      <c r="N3" s="3"/>
      <c r="O3" s="3"/>
      <c r="P3" s="3"/>
      <c r="Q3" s="4"/>
      <c r="R3" s="1"/>
      <c r="S3" s="1"/>
      <c r="T3" s="1"/>
      <c r="U3" s="1"/>
      <c r="V3" s="1"/>
      <c r="W3" s="1"/>
      <c r="X3" s="1"/>
      <c r="Y3" s="1"/>
      <c r="Z3" s="1"/>
      <c r="AA3" s="1"/>
      <c r="AB3" s="1"/>
      <c r="AC3" s="1"/>
      <c r="AD3" s="1"/>
      <c r="AE3" s="1"/>
    </row>
    <row r="4">
      <c r="A4" s="1"/>
      <c r="B4" s="1"/>
      <c r="C4" s="1"/>
      <c r="D4" s="1"/>
      <c r="E4" s="1"/>
      <c r="F4" s="1"/>
      <c r="G4" s="1"/>
      <c r="H4" s="1"/>
      <c r="I4" s="1"/>
      <c r="J4" s="1"/>
      <c r="K4" s="5"/>
      <c r="Q4" s="6"/>
      <c r="R4" s="1"/>
      <c r="S4" s="1"/>
      <c r="T4" s="1"/>
      <c r="U4" s="1"/>
      <c r="V4" s="1"/>
      <c r="W4" s="1"/>
      <c r="X4" s="1"/>
      <c r="Y4" s="1"/>
      <c r="Z4" s="1"/>
      <c r="AA4" s="1"/>
      <c r="AB4" s="1"/>
      <c r="AC4" s="1"/>
      <c r="AD4" s="1"/>
      <c r="AE4" s="1"/>
    </row>
    <row r="5">
      <c r="A5" s="1"/>
      <c r="B5" s="1"/>
      <c r="C5" s="1"/>
      <c r="D5" s="1"/>
      <c r="E5" s="1"/>
      <c r="F5" s="1"/>
      <c r="G5" s="1"/>
      <c r="H5" s="1"/>
      <c r="I5" s="1"/>
      <c r="J5" s="1"/>
      <c r="K5" s="5"/>
      <c r="Q5" s="6"/>
      <c r="R5" s="1"/>
      <c r="S5" s="1"/>
      <c r="T5" s="1"/>
      <c r="U5" s="1"/>
      <c r="V5" s="1"/>
      <c r="W5" s="1"/>
      <c r="X5" s="1"/>
      <c r="Y5" s="1"/>
      <c r="Z5" s="1"/>
      <c r="AA5" s="1"/>
      <c r="AB5" s="1"/>
      <c r="AC5" s="1"/>
      <c r="AD5" s="1"/>
      <c r="AE5" s="1"/>
    </row>
    <row r="6">
      <c r="A6" s="1"/>
      <c r="B6" s="1"/>
      <c r="C6" s="1"/>
      <c r="D6" s="1"/>
      <c r="E6" s="1"/>
      <c r="F6" s="1"/>
      <c r="G6" s="1"/>
      <c r="H6" s="1"/>
      <c r="I6" s="1"/>
      <c r="J6" s="1"/>
      <c r="K6" s="5"/>
      <c r="Q6" s="6"/>
      <c r="R6" s="1"/>
      <c r="S6" s="1"/>
      <c r="T6" s="1"/>
      <c r="U6" s="1"/>
      <c r="V6" s="1"/>
      <c r="W6" s="1"/>
      <c r="X6" s="1"/>
      <c r="Y6" s="1"/>
      <c r="Z6" s="1"/>
      <c r="AA6" s="1"/>
      <c r="AB6" s="1"/>
      <c r="AC6" s="1"/>
      <c r="AD6" s="1"/>
      <c r="AE6" s="1"/>
    </row>
    <row r="7">
      <c r="A7" s="1"/>
      <c r="B7" s="1"/>
      <c r="C7" s="1"/>
      <c r="D7" s="1"/>
      <c r="E7" s="1"/>
      <c r="F7" s="1"/>
      <c r="G7" s="1"/>
      <c r="H7" s="1"/>
      <c r="I7" s="1"/>
      <c r="J7" s="1"/>
      <c r="K7" s="7"/>
      <c r="L7" s="8"/>
      <c r="M7" s="8"/>
      <c r="N7" s="8"/>
      <c r="O7" s="8"/>
      <c r="P7" s="8"/>
      <c r="Q7" s="9"/>
      <c r="R7" s="1"/>
      <c r="S7" s="1"/>
      <c r="T7" s="1"/>
      <c r="U7" s="1"/>
      <c r="V7" s="1"/>
      <c r="W7" s="1"/>
      <c r="X7" s="1"/>
      <c r="Y7" s="1"/>
      <c r="Z7" s="1"/>
      <c r="AA7" s="1"/>
      <c r="AB7" s="1"/>
      <c r="AC7" s="1"/>
      <c r="AD7" s="1"/>
      <c r="AE7" s="1"/>
      <c r="AF7" s="1"/>
    </row>
    <row r="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c r="A9" s="1"/>
      <c r="B9" s="1"/>
      <c r="C9" s="1"/>
      <c r="D9" s="1"/>
      <c r="E9" s="1"/>
      <c r="F9" s="1"/>
      <c r="G9" s="1"/>
      <c r="H9" s="1"/>
      <c r="I9" s="1"/>
      <c r="J9" s="1"/>
      <c r="K9" s="10" t="s">
        <v>1</v>
      </c>
      <c r="L9" s="10" t="s">
        <v>2</v>
      </c>
      <c r="M9" s="11"/>
      <c r="N9" s="11"/>
      <c r="O9" s="11"/>
      <c r="P9" s="11"/>
      <c r="Q9" s="11"/>
      <c r="R9" s="1"/>
      <c r="S9" s="1"/>
      <c r="T9" s="1"/>
      <c r="U9" s="1"/>
      <c r="V9" s="1"/>
      <c r="W9" s="1"/>
      <c r="X9" s="1"/>
      <c r="Y9" s="1"/>
      <c r="Z9" s="1"/>
      <c r="AA9" s="1"/>
      <c r="AB9" s="1"/>
      <c r="AC9" s="1"/>
      <c r="AD9" s="1"/>
      <c r="AE9" s="1"/>
      <c r="AF9" s="1"/>
    </row>
    <row r="10">
      <c r="A10" s="1"/>
      <c r="B10" s="1"/>
      <c r="C10" s="1"/>
      <c r="D10" s="1"/>
      <c r="E10" s="1"/>
      <c r="F10" s="1"/>
      <c r="G10" s="1"/>
      <c r="H10" s="1"/>
      <c r="I10" s="1"/>
      <c r="J10" s="1"/>
      <c r="K10" s="12" t="s">
        <v>3</v>
      </c>
      <c r="L10" s="12" t="s">
        <v>4</v>
      </c>
      <c r="M10" s="11"/>
      <c r="N10" s="11"/>
      <c r="O10" s="11"/>
      <c r="P10" s="11"/>
      <c r="Q10" s="11"/>
      <c r="R10" s="1"/>
      <c r="S10" s="1"/>
      <c r="T10" s="1"/>
      <c r="U10" s="1"/>
      <c r="V10" s="1"/>
      <c r="W10" s="1"/>
      <c r="X10" s="1"/>
      <c r="Y10" s="1"/>
      <c r="Z10" s="1"/>
      <c r="AA10" s="1"/>
      <c r="AB10" s="1"/>
      <c r="AC10" s="1"/>
      <c r="AD10" s="1"/>
      <c r="AE10" s="1"/>
      <c r="AF10" s="1"/>
    </row>
    <row r="11" ht="30.75" customHeight="1">
      <c r="A11" s="1"/>
      <c r="B11" s="1"/>
      <c r="C11" s="1"/>
      <c r="D11" s="1"/>
      <c r="E11" s="1"/>
      <c r="F11" s="1"/>
      <c r="G11" s="1"/>
      <c r="H11" s="1"/>
      <c r="I11" s="1"/>
      <c r="J11" s="1"/>
      <c r="K11" s="12" t="s">
        <v>5</v>
      </c>
      <c r="L11" s="13" t="s">
        <v>6</v>
      </c>
      <c r="M11" s="14"/>
      <c r="N11" s="14"/>
      <c r="O11" s="14"/>
      <c r="P11" s="14"/>
      <c r="Q11" s="14"/>
      <c r="R11" s="15"/>
      <c r="S11" s="1"/>
      <c r="T11" s="1"/>
      <c r="U11" s="1"/>
      <c r="V11" s="1"/>
      <c r="W11" s="1"/>
      <c r="X11" s="1"/>
      <c r="Y11" s="1"/>
      <c r="Z11" s="1"/>
      <c r="AA11" s="1"/>
      <c r="AB11" s="1"/>
      <c r="AC11" s="1"/>
      <c r="AD11" s="1"/>
      <c r="AE11" s="1"/>
      <c r="AF11" s="1"/>
    </row>
    <row r="12" ht="30.75" customHeight="1">
      <c r="A12" s="1"/>
      <c r="B12" s="1"/>
      <c r="C12" s="1"/>
      <c r="D12" s="1"/>
      <c r="E12" s="1"/>
      <c r="F12" s="1"/>
      <c r="G12" s="1"/>
      <c r="H12" s="1"/>
      <c r="I12" s="1"/>
      <c r="J12" s="1"/>
      <c r="K12" s="12" t="s">
        <v>7</v>
      </c>
      <c r="L12" s="13" t="s">
        <v>8</v>
      </c>
      <c r="M12" s="14"/>
      <c r="N12" s="14"/>
      <c r="O12" s="14"/>
      <c r="P12" s="14"/>
      <c r="Q12" s="14"/>
      <c r="R12" s="15"/>
      <c r="S12" s="1"/>
      <c r="T12" s="1"/>
      <c r="U12" s="1"/>
      <c r="V12" s="1"/>
      <c r="W12" s="1"/>
      <c r="X12" s="1"/>
      <c r="Y12" s="1"/>
      <c r="Z12" s="1"/>
      <c r="AA12" s="1"/>
      <c r="AB12" s="1"/>
      <c r="AC12" s="1"/>
      <c r="AD12" s="1"/>
      <c r="AE12" s="1"/>
      <c r="AF12" s="1"/>
    </row>
    <row r="13">
      <c r="A13" s="1"/>
      <c r="B13" s="1"/>
      <c r="C13" s="1"/>
      <c r="D13" s="1"/>
      <c r="E13" s="1"/>
      <c r="F13" s="1"/>
      <c r="G13" s="1"/>
      <c r="H13" s="1"/>
      <c r="I13" s="1"/>
      <c r="J13" s="1"/>
      <c r="K13" s="16"/>
      <c r="L13" s="17"/>
      <c r="M13" s="11"/>
      <c r="N13" s="11"/>
      <c r="O13" s="11"/>
      <c r="P13" s="11"/>
      <c r="Q13" s="11"/>
      <c r="R13" s="1"/>
      <c r="S13" s="1"/>
      <c r="T13" s="1"/>
      <c r="U13" s="1"/>
      <c r="V13" s="1"/>
      <c r="W13" s="1"/>
      <c r="X13" s="1"/>
      <c r="Y13" s="1"/>
      <c r="Z13" s="1"/>
      <c r="AA13" s="1"/>
      <c r="AB13" s="1"/>
      <c r="AC13" s="1"/>
      <c r="AD13" s="1"/>
      <c r="AE13" s="1"/>
      <c r="AF13" s="1"/>
    </row>
    <row r="1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sheetData>
  <mergeCells count="3">
    <mergeCell ref="K3:Q7"/>
    <mergeCell ref="L11:R11"/>
    <mergeCell ref="L12:R12"/>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5.0"/>
    <col customWidth="1" min="2" max="2" width="19.0"/>
    <col customWidth="1" min="3" max="3" width="11.0"/>
    <col customWidth="1" min="4" max="4" width="12.0"/>
    <col customWidth="1" min="5" max="5" width="11.78"/>
    <col customWidth="1" min="6" max="10" width="11.0"/>
    <col customWidth="1" min="11" max="11" width="18.78"/>
    <col customWidth="1" min="12" max="19" width="11.0"/>
    <col customWidth="1" min="20" max="20" width="19.44"/>
    <col customWidth="1" min="21" max="26" width="11.0"/>
  </cols>
  <sheetData>
    <row r="1" ht="30.0" customHeight="1">
      <c r="A1" s="109" t="s">
        <v>34</v>
      </c>
      <c r="B1" s="18"/>
      <c r="C1" s="18"/>
      <c r="D1" s="18"/>
    </row>
    <row r="2">
      <c r="A2" s="109" t="s">
        <v>409</v>
      </c>
      <c r="B2" s="18"/>
      <c r="C2" s="18"/>
      <c r="D2" s="18"/>
    </row>
    <row r="3">
      <c r="A3" s="234" t="s">
        <v>410</v>
      </c>
    </row>
    <row r="4" ht="54.0" customHeight="1">
      <c r="A4" s="234" t="s">
        <v>411</v>
      </c>
    </row>
    <row r="5" ht="101.25" customHeight="1">
      <c r="A5" s="234" t="s">
        <v>412</v>
      </c>
    </row>
    <row r="6" ht="95.25" customHeight="1">
      <c r="A6" s="234" t="s">
        <v>413</v>
      </c>
    </row>
    <row r="7">
      <c r="A7" s="234" t="s">
        <v>414</v>
      </c>
    </row>
    <row r="8">
      <c r="A8" s="234"/>
    </row>
    <row r="9">
      <c r="A9" s="235" t="s">
        <v>415</v>
      </c>
    </row>
    <row r="10">
      <c r="A10" s="575" t="s">
        <v>416</v>
      </c>
      <c r="B10" s="576" t="s">
        <v>417</v>
      </c>
      <c r="C10" s="577" t="s">
        <v>418</v>
      </c>
      <c r="D10" s="578" t="s">
        <v>419</v>
      </c>
      <c r="E10" s="576" t="s">
        <v>420</v>
      </c>
      <c r="F10" s="577" t="s">
        <v>421</v>
      </c>
      <c r="G10" s="578" t="s">
        <v>422</v>
      </c>
      <c r="H10" s="576" t="s">
        <v>423</v>
      </c>
      <c r="I10" s="577" t="s">
        <v>424</v>
      </c>
      <c r="J10" s="578" t="s">
        <v>425</v>
      </c>
    </row>
    <row r="11">
      <c r="A11" s="579" t="s">
        <v>426</v>
      </c>
      <c r="B11" s="580">
        <v>28.0</v>
      </c>
      <c r="C11" s="581">
        <v>34.0</v>
      </c>
      <c r="D11" s="582">
        <v>37.0</v>
      </c>
      <c r="E11" s="580">
        <v>26.0</v>
      </c>
      <c r="F11" s="581">
        <v>30.0</v>
      </c>
      <c r="G11" s="582">
        <v>33.0</v>
      </c>
      <c r="H11" s="580">
        <v>32.0</v>
      </c>
      <c r="I11" s="581">
        <v>33.0</v>
      </c>
      <c r="J11" s="582">
        <v>34.0</v>
      </c>
      <c r="K11" s="217" t="s">
        <v>427</v>
      </c>
    </row>
    <row r="12">
      <c r="A12" s="579" t="s">
        <v>428</v>
      </c>
      <c r="B12" s="583">
        <v>14.0</v>
      </c>
      <c r="C12" s="584">
        <v>16.0</v>
      </c>
      <c r="D12" s="585">
        <v>18.0</v>
      </c>
      <c r="E12" s="583">
        <v>13.0</v>
      </c>
      <c r="F12" s="586">
        <v>15.0</v>
      </c>
      <c r="G12" s="585">
        <v>16.0</v>
      </c>
      <c r="H12" s="583">
        <v>14.0</v>
      </c>
      <c r="I12" s="586">
        <v>15.0</v>
      </c>
      <c r="J12" s="585">
        <v>17.0</v>
      </c>
      <c r="K12" s="217" t="s">
        <v>429</v>
      </c>
    </row>
    <row r="13">
      <c r="A13" s="480"/>
      <c r="B13" s="587"/>
      <c r="C13" s="80"/>
      <c r="D13" s="587"/>
    </row>
    <row r="14">
      <c r="A14" s="575" t="s">
        <v>430</v>
      </c>
      <c r="B14" s="570" t="s">
        <v>21</v>
      </c>
      <c r="E14" s="570" t="s">
        <v>22</v>
      </c>
      <c r="H14" s="570" t="s">
        <v>23</v>
      </c>
    </row>
    <row r="15">
      <c r="A15" s="579" t="s">
        <v>431</v>
      </c>
      <c r="B15" s="588">
        <v>18.0</v>
      </c>
      <c r="E15" s="581">
        <v>31.0</v>
      </c>
      <c r="H15" s="581">
        <v>11.0</v>
      </c>
      <c r="K15" s="217" t="s">
        <v>432</v>
      </c>
    </row>
    <row r="16">
      <c r="A16" s="579" t="s">
        <v>433</v>
      </c>
      <c r="B16" s="589">
        <v>0.08</v>
      </c>
      <c r="E16" s="571">
        <v>0.18</v>
      </c>
      <c r="H16" s="571">
        <v>0.12</v>
      </c>
    </row>
    <row r="17">
      <c r="A17" s="234"/>
      <c r="B17" s="590"/>
      <c r="C17" s="590"/>
      <c r="D17" s="590"/>
    </row>
    <row r="18">
      <c r="A18" s="68" t="s">
        <v>434</v>
      </c>
      <c r="B18" s="591" t="s">
        <v>24</v>
      </c>
      <c r="C18" s="592" t="s">
        <v>25</v>
      </c>
      <c r="D18" s="593" t="s">
        <v>26</v>
      </c>
    </row>
    <row r="19">
      <c r="A19" s="496" t="s">
        <v>435</v>
      </c>
      <c r="B19" s="594">
        <v>0.1</v>
      </c>
      <c r="C19" s="595">
        <v>0.3</v>
      </c>
      <c r="D19" s="596">
        <v>0.5</v>
      </c>
      <c r="E19" s="217" t="s">
        <v>124</v>
      </c>
    </row>
    <row r="20">
      <c r="A20" s="234"/>
      <c r="B20" s="462"/>
      <c r="C20" s="462"/>
      <c r="D20" s="462"/>
    </row>
    <row r="21">
      <c r="A21" s="575" t="s">
        <v>436</v>
      </c>
      <c r="B21" s="597" t="s">
        <v>21</v>
      </c>
      <c r="C21" s="598"/>
      <c r="D21" s="599"/>
      <c r="E21" s="600" t="s">
        <v>22</v>
      </c>
      <c r="F21" s="20"/>
      <c r="G21" s="258"/>
      <c r="H21" s="180" t="s">
        <v>23</v>
      </c>
      <c r="I21" s="20"/>
      <c r="J21" s="21"/>
    </row>
    <row r="22">
      <c r="A22" s="121" t="s">
        <v>437</v>
      </c>
      <c r="B22" s="601">
        <f>propHomesGasHeating</f>
        <v>0.8355968183</v>
      </c>
      <c r="C22" s="289"/>
      <c r="D22" s="602"/>
      <c r="E22" s="601">
        <f>propHomesOilHeating</f>
        <v>0.05364110283</v>
      </c>
      <c r="F22" s="289"/>
      <c r="G22" s="602"/>
      <c r="H22" s="601">
        <f>propHomesStorageHeaters+propHomesOtherElectricHeaters</f>
        <v>0.07617400467</v>
      </c>
      <c r="I22" s="289"/>
      <c r="J22" s="602"/>
    </row>
    <row r="23">
      <c r="A23" s="603"/>
      <c r="B23" s="604" t="s">
        <v>24</v>
      </c>
      <c r="C23" s="514" t="s">
        <v>25</v>
      </c>
      <c r="D23" s="605" t="s">
        <v>26</v>
      </c>
      <c r="E23" s="604" t="s">
        <v>24</v>
      </c>
      <c r="F23" s="514" t="s">
        <v>25</v>
      </c>
      <c r="G23" s="605" t="s">
        <v>26</v>
      </c>
      <c r="H23" s="604" t="s">
        <v>24</v>
      </c>
      <c r="I23" s="514" t="s">
        <v>25</v>
      </c>
      <c r="J23" s="605" t="s">
        <v>26</v>
      </c>
    </row>
    <row r="24">
      <c r="A24" s="241" t="s">
        <v>438</v>
      </c>
      <c r="B24" s="606">
        <f t="shared" ref="B24:D24" si="1">B11*$B15*$B16*B19</f>
        <v>4.032</v>
      </c>
      <c r="C24" s="434">
        <f t="shared" si="1"/>
        <v>14.688</v>
      </c>
      <c r="D24" s="435">
        <f t="shared" si="1"/>
        <v>26.64</v>
      </c>
      <c r="E24" s="606">
        <f t="shared" ref="E24:G24" si="2">E11*$E15*$E16*B19</f>
        <v>14.508</v>
      </c>
      <c r="F24" s="434">
        <f t="shared" si="2"/>
        <v>50.22</v>
      </c>
      <c r="G24" s="435">
        <f t="shared" si="2"/>
        <v>92.07</v>
      </c>
      <c r="H24" s="606">
        <f t="shared" ref="H24:J24" si="3">H11*$H15*$H16*B19</f>
        <v>4.224</v>
      </c>
      <c r="I24" s="434">
        <f t="shared" si="3"/>
        <v>13.068</v>
      </c>
      <c r="J24" s="435">
        <f t="shared" si="3"/>
        <v>22.44</v>
      </c>
      <c r="K24" s="217" t="s">
        <v>116</v>
      </c>
    </row>
    <row r="25">
      <c r="A25" s="579" t="s">
        <v>439</v>
      </c>
      <c r="B25" s="606">
        <f t="shared" ref="B25:D25" si="4">B12*$B15*(1-$B16)*B19</f>
        <v>23.184</v>
      </c>
      <c r="C25" s="434">
        <f t="shared" si="4"/>
        <v>79.488</v>
      </c>
      <c r="D25" s="435">
        <f t="shared" si="4"/>
        <v>149.04</v>
      </c>
      <c r="E25" s="606">
        <f t="shared" ref="E25:G25" si="5">E12*$E15*(1-$E16)*B19</f>
        <v>33.046</v>
      </c>
      <c r="F25" s="434">
        <f t="shared" si="5"/>
        <v>114.39</v>
      </c>
      <c r="G25" s="435">
        <f t="shared" si="5"/>
        <v>203.36</v>
      </c>
      <c r="H25" s="606">
        <f t="shared" ref="H25:J25" si="6">H12*$H15*(1-$H16)*B19</f>
        <v>13.552</v>
      </c>
      <c r="I25" s="434">
        <f t="shared" si="6"/>
        <v>43.56</v>
      </c>
      <c r="J25" s="435">
        <f t="shared" si="6"/>
        <v>82.28</v>
      </c>
      <c r="K25" s="217" t="s">
        <v>116</v>
      </c>
    </row>
    <row r="26">
      <c r="A26" s="579" t="s">
        <v>440</v>
      </c>
      <c r="B26" s="606">
        <f t="shared" ref="B26:J26" si="7">B24+B25</f>
        <v>27.216</v>
      </c>
      <c r="C26" s="434">
        <f t="shared" si="7"/>
        <v>94.176</v>
      </c>
      <c r="D26" s="435">
        <f t="shared" si="7"/>
        <v>175.68</v>
      </c>
      <c r="E26" s="606">
        <f t="shared" si="7"/>
        <v>47.554</v>
      </c>
      <c r="F26" s="434">
        <f t="shared" si="7"/>
        <v>164.61</v>
      </c>
      <c r="G26" s="435">
        <f t="shared" si="7"/>
        <v>295.43</v>
      </c>
      <c r="H26" s="606">
        <f t="shared" si="7"/>
        <v>17.776</v>
      </c>
      <c r="I26" s="434">
        <f t="shared" si="7"/>
        <v>56.628</v>
      </c>
      <c r="J26" s="435">
        <f t="shared" si="7"/>
        <v>104.72</v>
      </c>
      <c r="K26" s="217" t="s">
        <v>116</v>
      </c>
    </row>
    <row r="27">
      <c r="A27" s="579" t="s">
        <v>441</v>
      </c>
      <c r="B27" s="607">
        <f>B26*gasPriceP/100</f>
        <v>1.88044416</v>
      </c>
      <c r="C27" s="436">
        <f>C26*gasPriceP/100</f>
        <v>6.50693376</v>
      </c>
      <c r="D27" s="437">
        <f>D26*gasPriceP/100</f>
        <v>12.1383168</v>
      </c>
      <c r="E27" s="607">
        <f>E26*oilPriceP/100</f>
        <v>4.594589372</v>
      </c>
      <c r="F27" s="436">
        <f>F26*oilPriceP/100</f>
        <v>15.90434783</v>
      </c>
      <c r="G27" s="437">
        <f>G26*oilPriceP/100</f>
        <v>28.54396135</v>
      </c>
      <c r="H27" s="607">
        <f>H26*electricityPriceDualRateP/100</f>
        <v>4.679090623</v>
      </c>
      <c r="I27" s="436">
        <f>I26*electricityPriceDualRateP/100</f>
        <v>14.90591493</v>
      </c>
      <c r="J27" s="437">
        <f>J26*electricityPriceDualRateP/100</f>
        <v>27.56493981</v>
      </c>
      <c r="K27" s="265" t="s">
        <v>117</v>
      </c>
    </row>
    <row r="28">
      <c r="A28" s="480"/>
      <c r="B28" s="608"/>
      <c r="C28" s="608"/>
      <c r="D28" s="608"/>
      <c r="E28" s="260"/>
      <c r="F28" s="517"/>
      <c r="G28" s="517"/>
      <c r="H28" s="517"/>
      <c r="I28" s="517"/>
      <c r="J28" s="517"/>
    </row>
    <row r="29">
      <c r="A29" s="265"/>
      <c r="B29" s="609"/>
      <c r="C29" s="609"/>
      <c r="D29" s="609"/>
    </row>
    <row r="30">
      <c r="A30" s="68" t="s">
        <v>241</v>
      </c>
      <c r="B30" s="610" t="s">
        <v>24</v>
      </c>
      <c r="C30" s="611" t="s">
        <v>25</v>
      </c>
      <c r="D30" s="612" t="s">
        <v>26</v>
      </c>
    </row>
    <row r="31">
      <c r="A31" s="241" t="s">
        <v>442</v>
      </c>
      <c r="B31" s="594">
        <v>0.4</v>
      </c>
      <c r="C31" s="595">
        <v>0.5</v>
      </c>
      <c r="D31" s="596">
        <v>0.6</v>
      </c>
      <c r="E31" s="217" t="s">
        <v>443</v>
      </c>
    </row>
    <row r="32">
      <c r="A32" s="234"/>
      <c r="B32" s="143"/>
      <c r="C32" s="143"/>
      <c r="D32" s="143"/>
    </row>
    <row r="33">
      <c r="A33" s="265"/>
      <c r="B33" s="143"/>
      <c r="C33" s="143"/>
      <c r="D33" s="143"/>
    </row>
    <row r="34">
      <c r="A34" s="109" t="s">
        <v>3</v>
      </c>
      <c r="B34" s="308" t="s">
        <v>10</v>
      </c>
      <c r="C34" s="178"/>
      <c r="D34" s="178"/>
      <c r="E34" s="178"/>
      <c r="F34" s="178"/>
      <c r="G34" s="178"/>
      <c r="H34" s="178"/>
      <c r="I34" s="178"/>
      <c r="J34" s="179"/>
      <c r="K34" s="308" t="s">
        <v>137</v>
      </c>
      <c r="L34" s="178"/>
      <c r="M34" s="178"/>
      <c r="N34" s="178"/>
      <c r="O34" s="178"/>
      <c r="P34" s="178"/>
      <c r="Q34" s="178"/>
      <c r="R34" s="178"/>
      <c r="S34" s="179"/>
      <c r="T34" s="320" t="s">
        <v>138</v>
      </c>
    </row>
    <row r="35">
      <c r="A35" s="261"/>
      <c r="B35" s="613" t="s">
        <v>21</v>
      </c>
      <c r="C35" s="592"/>
      <c r="D35" s="593"/>
      <c r="E35" s="613" t="s">
        <v>22</v>
      </c>
      <c r="F35" s="592"/>
      <c r="G35" s="593"/>
      <c r="H35" s="614" t="s">
        <v>23</v>
      </c>
      <c r="I35" s="615"/>
      <c r="J35" s="616"/>
      <c r="K35" s="613" t="s">
        <v>21</v>
      </c>
      <c r="L35" s="592"/>
      <c r="M35" s="593"/>
      <c r="N35" s="613" t="s">
        <v>22</v>
      </c>
      <c r="O35" s="592"/>
      <c r="P35" s="593"/>
      <c r="Q35" s="614" t="s">
        <v>23</v>
      </c>
      <c r="R35" s="615"/>
      <c r="S35" s="616"/>
      <c r="T35" s="494"/>
    </row>
    <row r="36">
      <c r="A36" s="113"/>
      <c r="B36" s="58" t="s">
        <v>24</v>
      </c>
      <c r="C36" s="54" t="s">
        <v>25</v>
      </c>
      <c r="D36" s="55" t="s">
        <v>26</v>
      </c>
      <c r="E36" s="58" t="s">
        <v>24</v>
      </c>
      <c r="F36" s="54" t="s">
        <v>25</v>
      </c>
      <c r="G36" s="55" t="s">
        <v>26</v>
      </c>
      <c r="H36" s="58" t="s">
        <v>24</v>
      </c>
      <c r="I36" s="54" t="s">
        <v>25</v>
      </c>
      <c r="J36" s="55" t="s">
        <v>26</v>
      </c>
      <c r="K36" s="58" t="s">
        <v>24</v>
      </c>
      <c r="L36" s="54" t="s">
        <v>25</v>
      </c>
      <c r="M36" s="55" t="s">
        <v>26</v>
      </c>
      <c r="N36" s="58" t="s">
        <v>24</v>
      </c>
      <c r="O36" s="54" t="s">
        <v>25</v>
      </c>
      <c r="P36" s="55" t="s">
        <v>26</v>
      </c>
      <c r="Q36" s="58" t="s">
        <v>24</v>
      </c>
      <c r="R36" s="54" t="s">
        <v>25</v>
      </c>
      <c r="S36" s="55" t="s">
        <v>26</v>
      </c>
      <c r="T36" s="494"/>
    </row>
    <row r="37">
      <c r="A37" s="261" t="s">
        <v>34</v>
      </c>
      <c r="B37" s="116">
        <f t="shared" ref="B37:J37" si="8">B26</f>
        <v>27.216</v>
      </c>
      <c r="C37" s="117">
        <f t="shared" si="8"/>
        <v>94.176</v>
      </c>
      <c r="D37" s="118">
        <f t="shared" si="8"/>
        <v>175.68</v>
      </c>
      <c r="E37" s="322">
        <f t="shared" si="8"/>
        <v>47.554</v>
      </c>
      <c r="F37" s="323">
        <f t="shared" si="8"/>
        <v>164.61</v>
      </c>
      <c r="G37" s="324">
        <f t="shared" si="8"/>
        <v>295.43</v>
      </c>
      <c r="H37" s="607">
        <f t="shared" si="8"/>
        <v>17.776</v>
      </c>
      <c r="I37" s="436">
        <f t="shared" si="8"/>
        <v>56.628</v>
      </c>
      <c r="J37" s="437">
        <f t="shared" si="8"/>
        <v>104.72</v>
      </c>
      <c r="K37" s="116">
        <f>numberDwellingsUK*propHomesGasHeating*B31/1000</f>
        <v>9410.096632</v>
      </c>
      <c r="L37" s="117">
        <f>numberDwellingsUK*propHomesGasHeating*C31/1000</f>
        <v>11762.62079</v>
      </c>
      <c r="M37" s="118">
        <f>numberDwellingsUK*propHomesGasHeating*D31/1000</f>
        <v>14115.14495</v>
      </c>
      <c r="N37" s="116">
        <f>numberDwellingsUK*propHomesOilHeating*B31/1000</f>
        <v>604.08076</v>
      </c>
      <c r="O37" s="117">
        <f>numberDwellingsUK*propHomesOilHeating*C31/1000</f>
        <v>755.10095</v>
      </c>
      <c r="P37" s="118">
        <f>numberDwellingsUK*propHomesOilHeating*D31/1000</f>
        <v>906.12114</v>
      </c>
      <c r="Q37" s="116">
        <f>numberDwellingsUK*(propHomesStorageHeaters+propHomesOtherElectricHeaters)*B31/1000</f>
        <v>857.835656</v>
      </c>
      <c r="R37" s="117">
        <f>numberDwellingsUK*(propHomesStorageHeaters+propHomesOtherElectricHeaters)*C31/1000</f>
        <v>1072.29457</v>
      </c>
      <c r="S37" s="118">
        <f>numberDwellingsUK*(propHomesStorageHeaters+propHomesOtherElectricHeaters)*D31/1000</f>
        <v>1286.753484</v>
      </c>
      <c r="T37" s="297" t="s">
        <v>33</v>
      </c>
    </row>
    <row r="38">
      <c r="A38" s="265"/>
      <c r="B38" s="143"/>
      <c r="C38" s="143"/>
      <c r="D38" s="143"/>
    </row>
    <row r="39">
      <c r="A39" s="265" t="s">
        <v>444</v>
      </c>
      <c r="B39" s="143"/>
      <c r="C39" s="143"/>
      <c r="D39" s="143"/>
    </row>
    <row r="40">
      <c r="A40" s="68" t="s">
        <v>445</v>
      </c>
      <c r="B40" s="18">
        <v>0.08</v>
      </c>
      <c r="C40" s="18"/>
      <c r="D40" s="18"/>
      <c r="E40" s="18"/>
      <c r="F40" s="18"/>
      <c r="G40" s="18"/>
    </row>
    <row r="41">
      <c r="A41" s="234" t="s">
        <v>446</v>
      </c>
      <c r="B41" s="18"/>
      <c r="C41" s="617" t="s">
        <v>447</v>
      </c>
      <c r="D41" s="617" t="s">
        <v>448</v>
      </c>
      <c r="E41" s="617" t="s">
        <v>449</v>
      </c>
      <c r="F41" s="618" t="s">
        <v>450</v>
      </c>
      <c r="G41" s="617" t="s">
        <v>451</v>
      </c>
    </row>
    <row r="42">
      <c r="A42" s="234"/>
      <c r="B42" s="57" t="s">
        <v>452</v>
      </c>
      <c r="C42" s="619">
        <v>2.0</v>
      </c>
      <c r="D42" s="620">
        <f t="shared" ref="D42:D44" si="9">1/C42</f>
        <v>0.5</v>
      </c>
      <c r="E42" s="620">
        <f t="shared" ref="E42:E44" si="10">D42+$B$40</f>
        <v>0.58</v>
      </c>
      <c r="F42" s="621">
        <f t="shared" ref="F42:F44" si="11">1/E42</f>
        <v>1.724137931</v>
      </c>
      <c r="G42" s="622">
        <f t="shared" ref="G42:G44" si="12">1-F42/C42</f>
        <v>0.1379310345</v>
      </c>
    </row>
    <row r="43">
      <c r="A43" s="234"/>
      <c r="B43" s="57" t="s">
        <v>453</v>
      </c>
      <c r="C43" s="620">
        <v>4.6</v>
      </c>
      <c r="D43" s="621">
        <f t="shared" si="9"/>
        <v>0.2173913043</v>
      </c>
      <c r="E43" s="621">
        <f t="shared" si="10"/>
        <v>0.2973913043</v>
      </c>
      <c r="F43" s="621">
        <f t="shared" si="11"/>
        <v>3.362573099</v>
      </c>
      <c r="G43" s="622">
        <f t="shared" si="12"/>
        <v>0.269005848</v>
      </c>
    </row>
    <row r="44">
      <c r="A44" s="234"/>
      <c r="B44" s="57" t="s">
        <v>454</v>
      </c>
      <c r="C44" s="620">
        <v>2.8</v>
      </c>
      <c r="D44" s="621">
        <f t="shared" si="9"/>
        <v>0.3571428571</v>
      </c>
      <c r="E44" s="621">
        <f t="shared" si="10"/>
        <v>0.4371428571</v>
      </c>
      <c r="F44" s="621">
        <f t="shared" si="11"/>
        <v>2.287581699</v>
      </c>
      <c r="G44" s="622">
        <f t="shared" si="12"/>
        <v>0.1830065359</v>
      </c>
    </row>
    <row r="45">
      <c r="A45" s="265"/>
      <c r="B45" s="143"/>
      <c r="C45" s="143"/>
      <c r="D45" s="143"/>
    </row>
    <row r="46">
      <c r="A46" s="265"/>
    </row>
    <row r="47">
      <c r="A47" s="623" t="s">
        <v>455</v>
      </c>
      <c r="B47" s="624"/>
      <c r="C47" s="624"/>
      <c r="D47" s="624"/>
      <c r="E47" s="624"/>
      <c r="F47" s="624"/>
      <c r="G47" s="1"/>
    </row>
    <row r="48">
      <c r="A48" s="625" t="s">
        <v>456</v>
      </c>
      <c r="B48" s="626" t="s">
        <v>457</v>
      </c>
      <c r="C48" s="626"/>
      <c r="D48" s="626"/>
      <c r="E48" s="626"/>
      <c r="F48" s="626"/>
      <c r="G48" s="1"/>
    </row>
    <row r="49">
      <c r="A49" s="627"/>
      <c r="B49" s="628"/>
      <c r="C49" s="629" t="s">
        <v>447</v>
      </c>
      <c r="D49" s="629" t="s">
        <v>458</v>
      </c>
      <c r="E49" s="630" t="s">
        <v>459</v>
      </c>
      <c r="F49" s="631" t="s">
        <v>460</v>
      </c>
      <c r="G49" s="1"/>
    </row>
    <row r="50">
      <c r="A50" s="627" t="s">
        <v>461</v>
      </c>
      <c r="B50" s="632" t="s">
        <v>462</v>
      </c>
      <c r="C50" s="633">
        <v>5.2</v>
      </c>
      <c r="D50" s="634">
        <f t="shared" ref="D50:D51" si="13">1/C50</f>
        <v>0.1923076923</v>
      </c>
      <c r="E50" s="634"/>
      <c r="F50" s="635"/>
      <c r="G50" s="1"/>
    </row>
    <row r="51">
      <c r="A51" s="627"/>
      <c r="B51" s="636" t="s">
        <v>463</v>
      </c>
      <c r="C51" s="633">
        <v>3.0</v>
      </c>
      <c r="D51" s="634">
        <f t="shared" si="13"/>
        <v>0.3333333333</v>
      </c>
      <c r="E51" s="634">
        <f>D51-D50</f>
        <v>0.141025641</v>
      </c>
      <c r="F51" s="637">
        <f>1-$C$51/C50</f>
        <v>0.4230769231</v>
      </c>
      <c r="G51" s="1"/>
    </row>
    <row r="52">
      <c r="A52" s="627"/>
      <c r="B52" s="632"/>
      <c r="C52" s="633"/>
      <c r="D52" s="634"/>
      <c r="E52" s="634"/>
      <c r="F52" s="637"/>
      <c r="G52" s="1"/>
    </row>
    <row r="53">
      <c r="A53" s="627" t="s">
        <v>464</v>
      </c>
      <c r="B53" s="632" t="s">
        <v>454</v>
      </c>
      <c r="C53" s="633">
        <v>2.8</v>
      </c>
      <c r="D53" s="634">
        <f t="shared" ref="D53:D56" si="14">1/C53</f>
        <v>0.3571428571</v>
      </c>
      <c r="E53" s="634"/>
      <c r="F53" s="637"/>
      <c r="G53" s="1"/>
    </row>
    <row r="54">
      <c r="A54" s="627"/>
      <c r="B54" s="636" t="s">
        <v>463</v>
      </c>
      <c r="C54" s="633">
        <v>1.9</v>
      </c>
      <c r="D54" s="634">
        <f t="shared" si="14"/>
        <v>0.5263157895</v>
      </c>
      <c r="E54" s="634">
        <f t="shared" ref="E54:E56" si="15">D54-D$53</f>
        <v>0.1691729323</v>
      </c>
      <c r="F54" s="637">
        <f t="shared" ref="F54:F56" si="16">1-(C54/$C$53)</f>
        <v>0.3214285714</v>
      </c>
      <c r="G54" s="1"/>
    </row>
    <row r="55">
      <c r="A55" s="627"/>
      <c r="B55" s="638" t="s">
        <v>465</v>
      </c>
      <c r="C55" s="633">
        <v>1.8</v>
      </c>
      <c r="D55" s="634">
        <f t="shared" si="14"/>
        <v>0.5555555556</v>
      </c>
      <c r="E55" s="634">
        <f t="shared" si="15"/>
        <v>0.1984126984</v>
      </c>
      <c r="F55" s="637">
        <f t="shared" si="16"/>
        <v>0.3571428571</v>
      </c>
      <c r="G55" s="1"/>
    </row>
    <row r="56">
      <c r="A56" s="627"/>
      <c r="B56" s="639" t="s">
        <v>466</v>
      </c>
      <c r="C56" s="640">
        <v>2.2</v>
      </c>
      <c r="D56" s="641">
        <f t="shared" si="14"/>
        <v>0.4545454545</v>
      </c>
      <c r="E56" s="641">
        <f t="shared" si="15"/>
        <v>0.0974025974</v>
      </c>
      <c r="F56" s="642">
        <f t="shared" si="16"/>
        <v>0.2142857143</v>
      </c>
      <c r="G56" s="1"/>
    </row>
    <row r="57">
      <c r="A57" s="627"/>
      <c r="B57" s="624"/>
      <c r="C57" s="624"/>
      <c r="D57" s="624"/>
      <c r="E57" s="624"/>
      <c r="F57" s="624"/>
      <c r="G57" s="1"/>
    </row>
    <row r="58">
      <c r="A58" s="625" t="s">
        <v>467</v>
      </c>
      <c r="B58" s="628" t="s">
        <v>468</v>
      </c>
      <c r="C58" s="629" t="s">
        <v>396</v>
      </c>
      <c r="D58" s="629" t="s">
        <v>469</v>
      </c>
      <c r="E58" s="629" t="s">
        <v>470</v>
      </c>
      <c r="F58" s="631" t="s">
        <v>448</v>
      </c>
      <c r="G58" s="1"/>
    </row>
    <row r="59">
      <c r="A59" s="643" t="s">
        <v>471</v>
      </c>
      <c r="B59" s="644" t="s">
        <v>472</v>
      </c>
      <c r="C59" s="633">
        <v>27.8</v>
      </c>
      <c r="D59" s="645">
        <v>5.1</v>
      </c>
      <c r="E59" s="645">
        <f t="shared" ref="E59:E63" si="17">D59*(1-C59/100)</f>
        <v>3.6822</v>
      </c>
      <c r="F59" s="646">
        <f t="shared" ref="F59:F63" si="18">1/E59-1/D59</f>
        <v>0.07549834338</v>
      </c>
      <c r="G59" s="1"/>
    </row>
    <row r="60">
      <c r="A60" s="643" t="s">
        <v>473</v>
      </c>
      <c r="B60" s="644" t="s">
        <v>474</v>
      </c>
      <c r="C60" s="633">
        <v>12.3</v>
      </c>
      <c r="D60" s="645">
        <v>4.32</v>
      </c>
      <c r="E60" s="645">
        <f t="shared" si="17"/>
        <v>3.78864</v>
      </c>
      <c r="F60" s="646">
        <f t="shared" si="18"/>
        <v>0.03246547574</v>
      </c>
      <c r="G60" s="1"/>
    </row>
    <row r="61">
      <c r="A61" s="643" t="s">
        <v>475</v>
      </c>
      <c r="B61" s="644" t="s">
        <v>476</v>
      </c>
      <c r="C61" s="633">
        <v>4.9</v>
      </c>
      <c r="D61" s="645">
        <v>4.5</v>
      </c>
      <c r="E61" s="645">
        <f t="shared" si="17"/>
        <v>4.2795</v>
      </c>
      <c r="F61" s="646">
        <f t="shared" si="18"/>
        <v>0.01144993574</v>
      </c>
      <c r="G61" s="1"/>
    </row>
    <row r="62">
      <c r="A62" s="643" t="s">
        <v>477</v>
      </c>
      <c r="B62" s="644" t="s">
        <v>476</v>
      </c>
      <c r="C62" s="633">
        <v>10.3</v>
      </c>
      <c r="D62" s="645">
        <v>4.45</v>
      </c>
      <c r="E62" s="645">
        <f t="shared" si="17"/>
        <v>3.99165</v>
      </c>
      <c r="F62" s="646">
        <f t="shared" si="18"/>
        <v>0.02580386557</v>
      </c>
      <c r="G62" s="1"/>
    </row>
    <row r="63">
      <c r="A63" s="643" t="s">
        <v>478</v>
      </c>
      <c r="B63" s="647" t="s">
        <v>479</v>
      </c>
      <c r="C63" s="640">
        <v>29.1</v>
      </c>
      <c r="D63" s="648">
        <v>4.43</v>
      </c>
      <c r="E63" s="648">
        <f t="shared" si="17"/>
        <v>3.14087</v>
      </c>
      <c r="F63" s="649">
        <f t="shared" si="18"/>
        <v>0.09264948884</v>
      </c>
      <c r="G63" s="1"/>
    </row>
    <row r="64">
      <c r="A64" s="650"/>
      <c r="B64" s="1"/>
      <c r="C64" s="1"/>
      <c r="D64" s="1"/>
      <c r="E64" s="1"/>
      <c r="F64" s="1"/>
      <c r="G64" s="1"/>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2">
    <mergeCell ref="B34:J34"/>
    <mergeCell ref="K34:S34"/>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62.78"/>
    <col customWidth="1" min="2" max="2" width="15.44"/>
    <col customWidth="1" min="3" max="5" width="10.44"/>
    <col customWidth="1" min="6" max="6" width="10.78"/>
    <col customWidth="1" min="7" max="10" width="10.44"/>
    <col customWidth="1" min="11" max="11" width="12.33"/>
    <col customWidth="1" min="12" max="19" width="10.44"/>
    <col customWidth="1" min="20" max="20" width="19.0"/>
    <col customWidth="1" min="21" max="26" width="10.44"/>
  </cols>
  <sheetData>
    <row r="1" ht="30.0" customHeight="1">
      <c r="A1" s="651" t="s">
        <v>480</v>
      </c>
      <c r="B1" s="651"/>
      <c r="C1" s="18"/>
      <c r="D1" s="18"/>
      <c r="E1" s="18"/>
      <c r="F1" s="517"/>
    </row>
    <row r="2" ht="30.0" customHeight="1">
      <c r="A2" s="651" t="s">
        <v>481</v>
      </c>
      <c r="B2" s="651"/>
      <c r="C2" s="18"/>
      <c r="D2" s="18"/>
      <c r="E2" s="18"/>
      <c r="F2" s="517"/>
    </row>
    <row r="3" ht="60.75" customHeight="1">
      <c r="A3" s="480" t="s">
        <v>482</v>
      </c>
      <c r="B3" s="480"/>
      <c r="F3" s="517"/>
    </row>
    <row r="4">
      <c r="A4" s="480" t="s">
        <v>483</v>
      </c>
      <c r="B4" s="480"/>
      <c r="F4" s="517"/>
    </row>
    <row r="5">
      <c r="A5" s="480"/>
      <c r="B5" s="480"/>
      <c r="F5" s="517"/>
    </row>
    <row r="6">
      <c r="A6" s="480" t="s">
        <v>484</v>
      </c>
      <c r="B6" s="480"/>
      <c r="F6" s="517"/>
    </row>
    <row r="7" ht="159.0" customHeight="1">
      <c r="A7" s="480" t="s">
        <v>485</v>
      </c>
      <c r="B7" s="480"/>
      <c r="F7" s="517"/>
    </row>
    <row r="8">
      <c r="A8" s="480"/>
      <c r="B8" s="480"/>
      <c r="F8" s="517"/>
    </row>
    <row r="9">
      <c r="A9" s="235" t="s">
        <v>486</v>
      </c>
    </row>
    <row r="10">
      <c r="A10" s="575" t="s">
        <v>416</v>
      </c>
      <c r="B10" s="576" t="s">
        <v>417</v>
      </c>
      <c r="C10" s="577" t="s">
        <v>418</v>
      </c>
      <c r="D10" s="578" t="s">
        <v>419</v>
      </c>
      <c r="E10" s="576" t="s">
        <v>420</v>
      </c>
      <c r="F10" s="577" t="s">
        <v>421</v>
      </c>
      <c r="G10" s="578" t="s">
        <v>422</v>
      </c>
      <c r="H10" s="576" t="s">
        <v>423</v>
      </c>
      <c r="I10" s="577" t="s">
        <v>424</v>
      </c>
      <c r="J10" s="578" t="s">
        <v>425</v>
      </c>
    </row>
    <row r="11">
      <c r="A11" s="579" t="s">
        <v>487</v>
      </c>
      <c r="B11" s="580">
        <v>38.0</v>
      </c>
      <c r="C11" s="581">
        <v>50.0</v>
      </c>
      <c r="D11" s="582">
        <v>52.0</v>
      </c>
      <c r="E11" s="581">
        <v>35.0</v>
      </c>
      <c r="F11" s="581">
        <v>42.0</v>
      </c>
      <c r="G11" s="582">
        <v>45.0</v>
      </c>
      <c r="H11" s="580">
        <v>36.0</v>
      </c>
      <c r="I11" s="581">
        <v>46.0</v>
      </c>
      <c r="J11" s="582">
        <v>48.0</v>
      </c>
      <c r="K11" s="217" t="s">
        <v>488</v>
      </c>
    </row>
    <row r="12">
      <c r="A12" s="579" t="s">
        <v>489</v>
      </c>
      <c r="B12" s="583">
        <v>18.0</v>
      </c>
      <c r="C12" s="586">
        <v>21.0</v>
      </c>
      <c r="D12" s="652">
        <v>23.0</v>
      </c>
      <c r="E12" s="586">
        <v>17.0</v>
      </c>
      <c r="F12" s="586">
        <v>19.0</v>
      </c>
      <c r="G12" s="585">
        <v>21.0</v>
      </c>
      <c r="H12" s="583">
        <v>18.0</v>
      </c>
      <c r="I12" s="586">
        <v>19.0</v>
      </c>
      <c r="J12" s="585">
        <v>22.0</v>
      </c>
      <c r="K12" s="217" t="s">
        <v>490</v>
      </c>
    </row>
    <row r="13">
      <c r="A13" s="480"/>
      <c r="B13" s="587"/>
      <c r="C13" s="587"/>
      <c r="D13" s="80"/>
    </row>
    <row r="14">
      <c r="A14" s="480"/>
      <c r="B14" s="587"/>
      <c r="C14" s="587"/>
      <c r="D14" s="80"/>
    </row>
    <row r="15">
      <c r="A15" s="653" t="s">
        <v>430</v>
      </c>
      <c r="B15" s="576" t="s">
        <v>21</v>
      </c>
      <c r="C15" s="577" t="s">
        <v>22</v>
      </c>
      <c r="D15" s="578" t="s">
        <v>23</v>
      </c>
    </row>
    <row r="16">
      <c r="A16" s="654" t="s">
        <v>431</v>
      </c>
      <c r="B16" s="655">
        <v>18.0</v>
      </c>
      <c r="C16" s="581">
        <v>31.0</v>
      </c>
      <c r="D16" s="582">
        <v>11.0</v>
      </c>
      <c r="E16" s="517" t="s">
        <v>491</v>
      </c>
    </row>
    <row r="17">
      <c r="A17" s="654" t="s">
        <v>433</v>
      </c>
      <c r="B17" s="656">
        <v>0.08</v>
      </c>
      <c r="C17" s="657">
        <v>0.18</v>
      </c>
      <c r="D17" s="658">
        <v>0.12</v>
      </c>
    </row>
    <row r="18">
      <c r="A18" s="480"/>
      <c r="B18" s="659"/>
      <c r="C18" s="517"/>
      <c r="D18" s="517"/>
      <c r="E18" s="517"/>
      <c r="F18" s="517"/>
    </row>
    <row r="19">
      <c r="A19" s="603" t="s">
        <v>492</v>
      </c>
      <c r="B19" s="660" t="s">
        <v>24</v>
      </c>
      <c r="C19" s="661" t="s">
        <v>25</v>
      </c>
      <c r="D19" s="662" t="s">
        <v>26</v>
      </c>
      <c r="E19" s="663"/>
      <c r="F19" s="663"/>
    </row>
    <row r="20">
      <c r="A20" s="579" t="s">
        <v>493</v>
      </c>
      <c r="B20" s="664">
        <v>0.7</v>
      </c>
      <c r="C20" s="665">
        <v>0.9</v>
      </c>
      <c r="D20" s="666">
        <v>1.1</v>
      </c>
      <c r="E20" s="517"/>
      <c r="F20" s="30" t="s">
        <v>124</v>
      </c>
    </row>
    <row r="21">
      <c r="A21" s="480"/>
      <c r="B21" s="667"/>
      <c r="E21" s="517"/>
      <c r="F21" s="517"/>
    </row>
    <row r="22">
      <c r="A22" s="575" t="s">
        <v>494</v>
      </c>
      <c r="B22" s="668" t="s">
        <v>21</v>
      </c>
      <c r="C22" s="669"/>
      <c r="D22" s="670"/>
      <c r="E22" s="669" t="s">
        <v>22</v>
      </c>
      <c r="F22" s="611"/>
      <c r="G22" s="269"/>
      <c r="H22" s="454" t="s">
        <v>23</v>
      </c>
      <c r="I22" s="611"/>
      <c r="J22" s="612"/>
    </row>
    <row r="23">
      <c r="A23" s="121" t="s">
        <v>118</v>
      </c>
      <c r="B23" s="671">
        <f>propHomesGasHeating</f>
        <v>0.8355968183</v>
      </c>
      <c r="C23" s="672"/>
      <c r="D23" s="673"/>
      <c r="E23" s="672">
        <f>propHomesOilHeating</f>
        <v>0.05364110283</v>
      </c>
      <c r="F23" s="672"/>
      <c r="G23" s="673"/>
      <c r="H23" s="671">
        <f>propHomesStorageHeaters+propHomesOtherElectricHeaters</f>
        <v>0.07617400467</v>
      </c>
      <c r="I23" s="508"/>
      <c r="J23" s="347"/>
    </row>
    <row r="24">
      <c r="A24" s="121"/>
      <c r="B24" s="674" t="s">
        <v>24</v>
      </c>
      <c r="C24" s="514" t="s">
        <v>25</v>
      </c>
      <c r="D24" s="605" t="s">
        <v>26</v>
      </c>
      <c r="E24" s="675" t="s">
        <v>24</v>
      </c>
      <c r="F24" s="514" t="s">
        <v>25</v>
      </c>
      <c r="G24" s="605" t="s">
        <v>26</v>
      </c>
      <c r="H24" s="674" t="s">
        <v>24</v>
      </c>
      <c r="I24" s="514" t="s">
        <v>25</v>
      </c>
      <c r="J24" s="605" t="s">
        <v>26</v>
      </c>
    </row>
    <row r="25">
      <c r="A25" s="241" t="s">
        <v>462</v>
      </c>
      <c r="B25" s="85">
        <f t="shared" ref="B25:D25" si="1">B11*$B$16*$B$17*B$20</f>
        <v>38.304</v>
      </c>
      <c r="C25" s="86">
        <f t="shared" si="1"/>
        <v>64.8</v>
      </c>
      <c r="D25" s="87">
        <f t="shared" si="1"/>
        <v>82.368</v>
      </c>
      <c r="E25" s="86">
        <f t="shared" ref="E25:G25" si="2">E11*$C$16*$C$17*B$20</f>
        <v>136.71</v>
      </c>
      <c r="F25" s="86">
        <f t="shared" si="2"/>
        <v>210.924</v>
      </c>
      <c r="G25" s="87">
        <f t="shared" si="2"/>
        <v>276.21</v>
      </c>
      <c r="H25" s="85">
        <f t="shared" ref="H25:J25" si="3">H11*$D$16*$D$17*B$20</f>
        <v>33.264</v>
      </c>
      <c r="I25" s="86">
        <f t="shared" si="3"/>
        <v>54.648</v>
      </c>
      <c r="J25" s="87">
        <f t="shared" si="3"/>
        <v>69.696</v>
      </c>
      <c r="K25" s="217" t="s">
        <v>116</v>
      </c>
    </row>
    <row r="26">
      <c r="A26" s="579" t="s">
        <v>495</v>
      </c>
      <c r="B26" s="85">
        <f t="shared" ref="B26:D26" si="4">B12*$B$16*(1-$B$17)*B$20</f>
        <v>208.656</v>
      </c>
      <c r="C26" s="86">
        <f t="shared" si="4"/>
        <v>312.984</v>
      </c>
      <c r="D26" s="87">
        <f t="shared" si="4"/>
        <v>418.968</v>
      </c>
      <c r="E26" s="86">
        <f t="shared" ref="E26:G26" si="5">E12*$C$16*(1-$C$17)*B$20</f>
        <v>302.498</v>
      </c>
      <c r="F26" s="86">
        <f t="shared" si="5"/>
        <v>434.682</v>
      </c>
      <c r="G26" s="87">
        <f t="shared" si="5"/>
        <v>587.202</v>
      </c>
      <c r="H26" s="85">
        <f t="shared" ref="H26:J26" si="6">H12*$D$16*(1-$D$17)*B$20</f>
        <v>121.968</v>
      </c>
      <c r="I26" s="86">
        <f t="shared" si="6"/>
        <v>165.528</v>
      </c>
      <c r="J26" s="87">
        <f t="shared" si="6"/>
        <v>234.256</v>
      </c>
      <c r="K26" s="217" t="s">
        <v>116</v>
      </c>
    </row>
    <row r="27">
      <c r="A27" s="579" t="s">
        <v>440</v>
      </c>
      <c r="B27" s="85">
        <f t="shared" ref="B27:J27" si="7">SUM(B25:B26)</f>
        <v>246.96</v>
      </c>
      <c r="C27" s="86">
        <f t="shared" si="7"/>
        <v>377.784</v>
      </c>
      <c r="D27" s="87">
        <f t="shared" si="7"/>
        <v>501.336</v>
      </c>
      <c r="E27" s="86">
        <f t="shared" si="7"/>
        <v>439.208</v>
      </c>
      <c r="F27" s="86">
        <f t="shared" si="7"/>
        <v>645.606</v>
      </c>
      <c r="G27" s="87">
        <f t="shared" si="7"/>
        <v>863.412</v>
      </c>
      <c r="H27" s="85">
        <f t="shared" si="7"/>
        <v>155.232</v>
      </c>
      <c r="I27" s="86">
        <f t="shared" si="7"/>
        <v>220.176</v>
      </c>
      <c r="J27" s="87">
        <f t="shared" si="7"/>
        <v>303.952</v>
      </c>
      <c r="K27" s="217" t="s">
        <v>116</v>
      </c>
    </row>
    <row r="28">
      <c r="A28" s="579" t="s">
        <v>441</v>
      </c>
      <c r="B28" s="676">
        <f>B27*gasPriceP/100</f>
        <v>17.0632896</v>
      </c>
      <c r="C28" s="677">
        <f>C27*gasPriceP/100</f>
        <v>26.10235584</v>
      </c>
      <c r="D28" s="678">
        <f>D27*gasPriceP/100</f>
        <v>34.63897536</v>
      </c>
      <c r="E28" s="679">
        <f>E27*oilPriceP/100</f>
        <v>42.43555556</v>
      </c>
      <c r="F28" s="679">
        <f>F27*oilPriceP/100</f>
        <v>62.3773913</v>
      </c>
      <c r="G28" s="680">
        <f>G27*oilPriceP/100</f>
        <v>83.42144928</v>
      </c>
      <c r="H28" s="681">
        <f>H27*electricityPriceDualRateP/100</f>
        <v>40.8609696</v>
      </c>
      <c r="I28" s="679">
        <f>I27*electricityPriceDualRateP/100</f>
        <v>57.95586504</v>
      </c>
      <c r="J28" s="680">
        <f>J27*electricityPriceDualRateP/100</f>
        <v>80.00781689</v>
      </c>
      <c r="K28" s="217" t="s">
        <v>117</v>
      </c>
    </row>
    <row r="29">
      <c r="A29" s="667"/>
      <c r="B29" s="260"/>
      <c r="C29" s="259"/>
      <c r="D29" s="259"/>
      <c r="E29" s="260"/>
      <c r="F29" s="259"/>
      <c r="G29" s="259"/>
    </row>
    <row r="30">
      <c r="A30" s="234" t="s">
        <v>496</v>
      </c>
      <c r="B30" s="480"/>
      <c r="C30" s="273"/>
      <c r="D30" s="273"/>
      <c r="E30" s="273"/>
      <c r="F30" s="273"/>
    </row>
    <row r="31">
      <c r="A31" s="575" t="s">
        <v>497</v>
      </c>
      <c r="B31" s="267" t="s">
        <v>24</v>
      </c>
      <c r="C31" s="268" t="s">
        <v>25</v>
      </c>
      <c r="D31" s="269" t="s">
        <v>26</v>
      </c>
      <c r="E31" s="517"/>
      <c r="F31" s="517"/>
    </row>
    <row r="32">
      <c r="A32" s="682" t="s">
        <v>498</v>
      </c>
      <c r="B32" s="594">
        <v>0.8</v>
      </c>
      <c r="C32" s="595">
        <v>0.9</v>
      </c>
      <c r="D32" s="596">
        <v>1.0</v>
      </c>
      <c r="F32" s="517" t="s">
        <v>124</v>
      </c>
    </row>
    <row r="33">
      <c r="A33" s="480"/>
      <c r="B33" s="480"/>
      <c r="C33" s="273"/>
      <c r="D33" s="273"/>
      <c r="E33" s="273"/>
    </row>
    <row r="34">
      <c r="A34" s="480"/>
      <c r="B34" s="480"/>
      <c r="C34" s="273"/>
      <c r="D34" s="273"/>
      <c r="E34" s="273"/>
      <c r="F34" s="273"/>
    </row>
    <row r="35">
      <c r="A35" s="109" t="s">
        <v>499</v>
      </c>
      <c r="B35" s="180" t="s">
        <v>21</v>
      </c>
      <c r="C35" s="20"/>
      <c r="D35" s="21"/>
      <c r="E35" s="180" t="s">
        <v>22</v>
      </c>
      <c r="F35" s="20"/>
      <c r="G35" s="21"/>
      <c r="H35" s="180" t="s">
        <v>23</v>
      </c>
      <c r="I35" s="20"/>
      <c r="J35" s="21"/>
    </row>
    <row r="36">
      <c r="A36" s="109"/>
      <c r="B36" s="237" t="s">
        <v>24</v>
      </c>
      <c r="C36" s="238" t="s">
        <v>25</v>
      </c>
      <c r="D36" s="239" t="s">
        <v>26</v>
      </c>
      <c r="E36" s="237" t="s">
        <v>24</v>
      </c>
      <c r="F36" s="238" t="s">
        <v>25</v>
      </c>
      <c r="G36" s="239" t="s">
        <v>26</v>
      </c>
      <c r="H36" s="237" t="s">
        <v>24</v>
      </c>
      <c r="I36" s="238" t="s">
        <v>25</v>
      </c>
      <c r="J36" s="239" t="s">
        <v>26</v>
      </c>
    </row>
    <row r="37">
      <c r="A37" s="281" t="s">
        <v>500</v>
      </c>
      <c r="B37" s="607">
        <f>numberDwellingsUK*$B23*B32</f>
        <v>18820193.26</v>
      </c>
      <c r="C37" s="436">
        <f>numberDwellingsUK*$B23*C32</f>
        <v>21172717.42</v>
      </c>
      <c r="D37" s="437">
        <f>numberDwellingsUK*$B23*D32</f>
        <v>23525241.58</v>
      </c>
      <c r="E37" s="607">
        <f>numberDwellingsUK*$E23*B32</f>
        <v>1208161.52</v>
      </c>
      <c r="F37" s="436">
        <f>numberDwellingsUK*$E23*C32</f>
        <v>1359181.71</v>
      </c>
      <c r="G37" s="437">
        <f>numberDwellingsUK*$E23*D32</f>
        <v>1510201.9</v>
      </c>
      <c r="H37" s="607">
        <f>numberDwellingsUK*$H23*B32</f>
        <v>1715671.312</v>
      </c>
      <c r="I37" s="436">
        <f>numberDwellingsUK*$H23*C32</f>
        <v>1930130.226</v>
      </c>
      <c r="J37" s="437">
        <f>numberDwellingsUK*$H23*D32</f>
        <v>2144589.14</v>
      </c>
    </row>
    <row r="38">
      <c r="A38" s="480"/>
      <c r="B38" s="683"/>
      <c r="C38" s="683"/>
      <c r="D38" s="683"/>
      <c r="F38" s="273"/>
    </row>
    <row r="39">
      <c r="A39" s="480"/>
      <c r="B39" s="517"/>
      <c r="C39" s="517"/>
      <c r="D39" s="517"/>
      <c r="E39" s="447"/>
      <c r="F39" s="447"/>
      <c r="G39" s="447"/>
      <c r="H39" s="517"/>
      <c r="I39" s="517"/>
      <c r="J39" s="517"/>
    </row>
    <row r="40">
      <c r="A40" s="109" t="s">
        <v>3</v>
      </c>
      <c r="B40" s="308" t="s">
        <v>10</v>
      </c>
      <c r="C40" s="178"/>
      <c r="D40" s="178"/>
      <c r="E40" s="178"/>
      <c r="F40" s="178"/>
      <c r="G40" s="178"/>
      <c r="H40" s="178"/>
      <c r="I40" s="178"/>
      <c r="J40" s="179"/>
      <c r="K40" s="308" t="s">
        <v>137</v>
      </c>
      <c r="L40" s="178"/>
      <c r="M40" s="178"/>
      <c r="N40" s="178"/>
      <c r="O40" s="178"/>
      <c r="P40" s="178"/>
      <c r="Q40" s="178"/>
      <c r="R40" s="178"/>
      <c r="S40" s="179"/>
      <c r="T40" s="320" t="s">
        <v>138</v>
      </c>
    </row>
    <row r="41">
      <c r="A41" s="261"/>
      <c r="B41" s="613" t="s">
        <v>21</v>
      </c>
      <c r="C41" s="592"/>
      <c r="D41" s="593"/>
      <c r="E41" s="613" t="s">
        <v>22</v>
      </c>
      <c r="F41" s="592"/>
      <c r="G41" s="593"/>
      <c r="H41" s="614" t="s">
        <v>23</v>
      </c>
      <c r="I41" s="615"/>
      <c r="J41" s="616"/>
      <c r="K41" s="613" t="s">
        <v>21</v>
      </c>
      <c r="L41" s="592"/>
      <c r="M41" s="593"/>
      <c r="N41" s="613" t="s">
        <v>22</v>
      </c>
      <c r="O41" s="592"/>
      <c r="P41" s="593"/>
      <c r="Q41" s="614" t="s">
        <v>23</v>
      </c>
      <c r="R41" s="615"/>
      <c r="S41" s="616"/>
      <c r="T41" s="494"/>
    </row>
    <row r="42">
      <c r="A42" s="113"/>
      <c r="B42" s="58" t="s">
        <v>24</v>
      </c>
      <c r="C42" s="54" t="s">
        <v>25</v>
      </c>
      <c r="D42" s="55" t="s">
        <v>26</v>
      </c>
      <c r="E42" s="58" t="s">
        <v>24</v>
      </c>
      <c r="F42" s="54" t="s">
        <v>25</v>
      </c>
      <c r="G42" s="55" t="s">
        <v>26</v>
      </c>
      <c r="H42" s="58" t="s">
        <v>24</v>
      </c>
      <c r="I42" s="54" t="s">
        <v>25</v>
      </c>
      <c r="J42" s="55" t="s">
        <v>26</v>
      </c>
      <c r="K42" s="58" t="s">
        <v>24</v>
      </c>
      <c r="L42" s="54" t="s">
        <v>25</v>
      </c>
      <c r="M42" s="55" t="s">
        <v>26</v>
      </c>
      <c r="N42" s="58" t="s">
        <v>24</v>
      </c>
      <c r="O42" s="54" t="s">
        <v>25</v>
      </c>
      <c r="P42" s="55" t="s">
        <v>26</v>
      </c>
      <c r="Q42" s="58" t="s">
        <v>24</v>
      </c>
      <c r="R42" s="54" t="s">
        <v>25</v>
      </c>
      <c r="S42" s="55" t="s">
        <v>26</v>
      </c>
      <c r="T42" s="494"/>
    </row>
    <row r="43">
      <c r="A43" s="654" t="s">
        <v>71</v>
      </c>
      <c r="B43" s="85">
        <f t="shared" ref="B43:J43" si="8">B27</f>
        <v>246.96</v>
      </c>
      <c r="C43" s="86">
        <f t="shared" si="8"/>
        <v>377.784</v>
      </c>
      <c r="D43" s="87">
        <f t="shared" si="8"/>
        <v>501.336</v>
      </c>
      <c r="E43" s="85">
        <f t="shared" si="8"/>
        <v>439.208</v>
      </c>
      <c r="F43" s="86">
        <f t="shared" si="8"/>
        <v>645.606</v>
      </c>
      <c r="G43" s="87">
        <f t="shared" si="8"/>
        <v>863.412</v>
      </c>
      <c r="H43" s="85">
        <f t="shared" si="8"/>
        <v>155.232</v>
      </c>
      <c r="I43" s="86">
        <f t="shared" si="8"/>
        <v>220.176</v>
      </c>
      <c r="J43" s="87">
        <f t="shared" si="8"/>
        <v>303.952</v>
      </c>
      <c r="K43" s="684">
        <f t="shared" ref="K43:S43" si="9">B37/1000</f>
        <v>18820.19326</v>
      </c>
      <c r="L43" s="685">
        <f t="shared" si="9"/>
        <v>21172.71742</v>
      </c>
      <c r="M43" s="686">
        <f t="shared" si="9"/>
        <v>23525.24158</v>
      </c>
      <c r="N43" s="684">
        <f t="shared" si="9"/>
        <v>1208.16152</v>
      </c>
      <c r="O43" s="685">
        <f t="shared" si="9"/>
        <v>1359.18171</v>
      </c>
      <c r="P43" s="686">
        <f t="shared" si="9"/>
        <v>1510.2019</v>
      </c>
      <c r="Q43" s="684">
        <f t="shared" si="9"/>
        <v>1715.671312</v>
      </c>
      <c r="R43" s="685">
        <f t="shared" si="9"/>
        <v>1930.130226</v>
      </c>
      <c r="S43" s="686">
        <f t="shared" si="9"/>
        <v>2144.58914</v>
      </c>
      <c r="T43" s="140" t="s">
        <v>501</v>
      </c>
    </row>
    <row r="44">
      <c r="A44" s="654" t="s">
        <v>502</v>
      </c>
      <c r="B44" s="322">
        <f t="shared" ref="B44:J44" si="10">B25</f>
        <v>38.304</v>
      </c>
      <c r="C44" s="323">
        <f t="shared" si="10"/>
        <v>64.8</v>
      </c>
      <c r="D44" s="324">
        <f t="shared" si="10"/>
        <v>82.368</v>
      </c>
      <c r="E44" s="322">
        <f t="shared" si="10"/>
        <v>136.71</v>
      </c>
      <c r="F44" s="323">
        <f t="shared" si="10"/>
        <v>210.924</v>
      </c>
      <c r="G44" s="324">
        <f t="shared" si="10"/>
        <v>276.21</v>
      </c>
      <c r="H44" s="322">
        <f t="shared" si="10"/>
        <v>33.264</v>
      </c>
      <c r="I44" s="323">
        <f t="shared" si="10"/>
        <v>54.648</v>
      </c>
      <c r="J44" s="324">
        <f t="shared" si="10"/>
        <v>69.696</v>
      </c>
      <c r="K44" s="554">
        <f t="shared" ref="K44:S44" si="11">K43</f>
        <v>18820.19326</v>
      </c>
      <c r="L44" s="555">
        <f t="shared" si="11"/>
        <v>21172.71742</v>
      </c>
      <c r="M44" s="556">
        <f t="shared" si="11"/>
        <v>23525.24158</v>
      </c>
      <c r="N44" s="554">
        <f t="shared" si="11"/>
        <v>1208.16152</v>
      </c>
      <c r="O44" s="555">
        <f t="shared" si="11"/>
        <v>1359.18171</v>
      </c>
      <c r="P44" s="556">
        <f t="shared" si="11"/>
        <v>1510.2019</v>
      </c>
      <c r="Q44" s="554">
        <f t="shared" si="11"/>
        <v>1715.671312</v>
      </c>
      <c r="R44" s="555">
        <f t="shared" si="11"/>
        <v>1930.130226</v>
      </c>
      <c r="S44" s="556">
        <f t="shared" si="11"/>
        <v>2144.58914</v>
      </c>
      <c r="T44" s="297" t="s">
        <v>501</v>
      </c>
    </row>
    <row r="45">
      <c r="A45" s="480"/>
      <c r="B45" s="480"/>
      <c r="F45" s="517"/>
    </row>
    <row r="46">
      <c r="A46" s="480"/>
      <c r="B46" s="480"/>
      <c r="F46" s="517"/>
    </row>
    <row r="47">
      <c r="A47" s="480"/>
      <c r="B47" s="480"/>
      <c r="F47" s="517"/>
    </row>
    <row r="48">
      <c r="A48" s="480"/>
      <c r="B48" s="480"/>
      <c r="F48" s="517"/>
    </row>
    <row r="49">
      <c r="A49" s="480"/>
      <c r="B49" s="480"/>
      <c r="F49" s="517"/>
    </row>
    <row r="50">
      <c r="A50" s="480"/>
      <c r="B50" s="480"/>
      <c r="F50" s="517"/>
    </row>
    <row r="51">
      <c r="A51" s="480"/>
      <c r="B51" s="480"/>
      <c r="F51" s="517"/>
    </row>
    <row r="52">
      <c r="A52" s="480"/>
      <c r="B52" s="480"/>
      <c r="F52" s="517"/>
    </row>
    <row r="53">
      <c r="A53" s="480"/>
      <c r="B53" s="480"/>
      <c r="F53" s="517"/>
    </row>
    <row r="54">
      <c r="A54" s="480"/>
      <c r="B54" s="480"/>
      <c r="F54" s="517"/>
    </row>
    <row r="55">
      <c r="A55" s="480"/>
      <c r="B55" s="480"/>
      <c r="F55" s="517"/>
    </row>
    <row r="56">
      <c r="A56" s="480"/>
      <c r="B56" s="480"/>
      <c r="F56" s="517"/>
    </row>
    <row r="57">
      <c r="A57" s="480"/>
      <c r="B57" s="480"/>
      <c r="F57" s="517"/>
    </row>
    <row r="58">
      <c r="A58" s="480"/>
      <c r="B58" s="480"/>
      <c r="F58" s="517"/>
    </row>
    <row r="59">
      <c r="A59" s="480"/>
      <c r="B59" s="480"/>
      <c r="F59" s="517"/>
    </row>
    <row r="60">
      <c r="A60" s="480"/>
      <c r="B60" s="480"/>
      <c r="F60" s="517"/>
    </row>
    <row r="61">
      <c r="A61" s="480"/>
      <c r="B61" s="480"/>
      <c r="F61" s="517"/>
    </row>
    <row r="62">
      <c r="A62" s="480"/>
      <c r="B62" s="480"/>
      <c r="F62" s="517"/>
    </row>
    <row r="63">
      <c r="A63" s="480"/>
      <c r="B63" s="480"/>
      <c r="F63" s="517"/>
    </row>
    <row r="64">
      <c r="A64" s="480"/>
      <c r="B64" s="480"/>
      <c r="F64" s="517"/>
    </row>
    <row r="65">
      <c r="A65" s="480"/>
      <c r="B65" s="480"/>
      <c r="F65" s="517"/>
    </row>
    <row r="66">
      <c r="A66" s="480"/>
      <c r="B66" s="480"/>
      <c r="F66" s="517"/>
    </row>
    <row r="67">
      <c r="A67" s="480"/>
      <c r="B67" s="480"/>
      <c r="F67" s="517"/>
    </row>
    <row r="68">
      <c r="A68" s="480"/>
      <c r="B68" s="480"/>
      <c r="F68" s="517"/>
    </row>
    <row r="69">
      <c r="A69" s="480"/>
      <c r="B69" s="480"/>
      <c r="F69" s="517"/>
    </row>
    <row r="70">
      <c r="A70" s="480"/>
      <c r="B70" s="480"/>
      <c r="F70" s="517"/>
    </row>
    <row r="71">
      <c r="A71" s="480"/>
      <c r="B71" s="480"/>
      <c r="F71" s="517"/>
    </row>
    <row r="72">
      <c r="A72" s="480"/>
      <c r="B72" s="480"/>
      <c r="F72" s="517"/>
    </row>
    <row r="73">
      <c r="A73" s="480"/>
      <c r="B73" s="480"/>
      <c r="F73" s="517"/>
    </row>
    <row r="74">
      <c r="A74" s="480"/>
      <c r="B74" s="480"/>
      <c r="F74" s="517"/>
    </row>
    <row r="75">
      <c r="A75" s="480"/>
      <c r="B75" s="480"/>
      <c r="F75" s="517"/>
    </row>
    <row r="76">
      <c r="A76" s="480"/>
      <c r="B76" s="480"/>
      <c r="F76" s="517"/>
    </row>
    <row r="77">
      <c r="A77" s="480"/>
      <c r="B77" s="480"/>
      <c r="F77" s="517"/>
    </row>
    <row r="78">
      <c r="A78" s="480"/>
      <c r="B78" s="480"/>
      <c r="F78" s="517"/>
    </row>
    <row r="79">
      <c r="A79" s="480"/>
      <c r="B79" s="480"/>
      <c r="F79" s="517"/>
    </row>
    <row r="80">
      <c r="A80" s="480"/>
      <c r="B80" s="480"/>
      <c r="F80" s="517"/>
    </row>
    <row r="81">
      <c r="A81" s="480"/>
      <c r="B81" s="480"/>
      <c r="F81" s="517"/>
    </row>
    <row r="82">
      <c r="A82" s="480"/>
      <c r="B82" s="480"/>
      <c r="F82" s="517"/>
    </row>
    <row r="83">
      <c r="A83" s="480"/>
      <c r="B83" s="480"/>
      <c r="F83" s="517"/>
    </row>
    <row r="84">
      <c r="A84" s="480"/>
      <c r="B84" s="480"/>
      <c r="F84" s="517"/>
    </row>
    <row r="85">
      <c r="A85" s="480"/>
      <c r="B85" s="480"/>
      <c r="F85" s="517"/>
    </row>
    <row r="86">
      <c r="A86" s="480"/>
      <c r="B86" s="480"/>
      <c r="F86" s="517"/>
    </row>
    <row r="87">
      <c r="A87" s="480"/>
      <c r="B87" s="480"/>
      <c r="F87" s="517"/>
    </row>
    <row r="88">
      <c r="A88" s="480"/>
      <c r="B88" s="480"/>
      <c r="F88" s="517"/>
    </row>
    <row r="89">
      <c r="A89" s="480"/>
      <c r="B89" s="480"/>
      <c r="F89" s="517"/>
    </row>
    <row r="90">
      <c r="A90" s="480"/>
      <c r="B90" s="480"/>
      <c r="F90" s="517"/>
    </row>
    <row r="91">
      <c r="A91" s="480"/>
      <c r="B91" s="480"/>
      <c r="F91" s="517"/>
    </row>
    <row r="92">
      <c r="A92" s="480"/>
      <c r="B92" s="480"/>
      <c r="F92" s="517"/>
    </row>
    <row r="93">
      <c r="A93" s="480"/>
      <c r="B93" s="480"/>
      <c r="F93" s="517"/>
    </row>
    <row r="94">
      <c r="A94" s="480"/>
      <c r="B94" s="480"/>
      <c r="F94" s="517"/>
    </row>
    <row r="95">
      <c r="A95" s="480"/>
      <c r="B95" s="480"/>
      <c r="F95" s="517"/>
    </row>
    <row r="96">
      <c r="A96" s="480"/>
      <c r="B96" s="480"/>
      <c r="F96" s="517"/>
    </row>
    <row r="97">
      <c r="A97" s="480"/>
      <c r="B97" s="480"/>
      <c r="F97" s="517"/>
    </row>
    <row r="98">
      <c r="A98" s="480"/>
      <c r="B98" s="480"/>
      <c r="F98" s="517"/>
    </row>
    <row r="99">
      <c r="A99" s="480"/>
      <c r="B99" s="480"/>
      <c r="F99" s="517"/>
    </row>
    <row r="100">
      <c r="A100" s="480"/>
      <c r="B100" s="480"/>
      <c r="F100" s="517"/>
    </row>
    <row r="101">
      <c r="A101" s="480"/>
      <c r="B101" s="480"/>
      <c r="F101" s="517"/>
    </row>
    <row r="102">
      <c r="A102" s="480"/>
      <c r="B102" s="480"/>
      <c r="F102" s="517"/>
    </row>
    <row r="103">
      <c r="A103" s="480"/>
      <c r="B103" s="480"/>
      <c r="F103" s="517"/>
    </row>
    <row r="104">
      <c r="A104" s="480"/>
      <c r="B104" s="480"/>
      <c r="F104" s="517"/>
    </row>
    <row r="105">
      <c r="A105" s="480"/>
      <c r="B105" s="480"/>
      <c r="F105" s="517"/>
    </row>
    <row r="106">
      <c r="A106" s="480"/>
      <c r="B106" s="480"/>
      <c r="F106" s="517"/>
    </row>
    <row r="107">
      <c r="A107" s="480"/>
      <c r="B107" s="480"/>
      <c r="F107" s="517"/>
    </row>
    <row r="108">
      <c r="A108" s="480"/>
      <c r="B108" s="480"/>
      <c r="F108" s="517"/>
    </row>
    <row r="109">
      <c r="A109" s="480"/>
      <c r="B109" s="480"/>
      <c r="F109" s="517"/>
    </row>
    <row r="110">
      <c r="A110" s="480"/>
      <c r="B110" s="480"/>
      <c r="F110" s="517"/>
    </row>
    <row r="111">
      <c r="A111" s="480"/>
      <c r="B111" s="480"/>
      <c r="F111" s="517"/>
    </row>
    <row r="112">
      <c r="A112" s="480"/>
      <c r="B112" s="480"/>
      <c r="F112" s="517"/>
    </row>
    <row r="113">
      <c r="A113" s="480"/>
      <c r="B113" s="480"/>
      <c r="F113" s="517"/>
    </row>
    <row r="114">
      <c r="A114" s="480"/>
      <c r="B114" s="480"/>
      <c r="F114" s="517"/>
    </row>
    <row r="115">
      <c r="A115" s="480"/>
      <c r="B115" s="480"/>
      <c r="F115" s="517"/>
    </row>
    <row r="116">
      <c r="A116" s="480"/>
      <c r="B116" s="480"/>
      <c r="F116" s="517"/>
    </row>
    <row r="117">
      <c r="A117" s="480"/>
      <c r="B117" s="480"/>
      <c r="F117" s="517"/>
    </row>
    <row r="118">
      <c r="A118" s="480"/>
      <c r="B118" s="480"/>
      <c r="F118" s="517"/>
    </row>
    <row r="119">
      <c r="A119" s="480"/>
      <c r="B119" s="480"/>
      <c r="F119" s="517"/>
    </row>
    <row r="120">
      <c r="A120" s="480"/>
      <c r="B120" s="480"/>
      <c r="F120" s="517"/>
    </row>
    <row r="121">
      <c r="A121" s="480"/>
      <c r="B121" s="480"/>
      <c r="F121" s="517"/>
    </row>
    <row r="122">
      <c r="A122" s="480"/>
      <c r="B122" s="480"/>
      <c r="F122" s="517"/>
    </row>
    <row r="123">
      <c r="A123" s="480"/>
      <c r="B123" s="480"/>
      <c r="F123" s="517"/>
    </row>
    <row r="124">
      <c r="A124" s="480"/>
      <c r="B124" s="480"/>
      <c r="F124" s="517"/>
    </row>
    <row r="125">
      <c r="A125" s="480"/>
      <c r="B125" s="480"/>
      <c r="F125" s="517"/>
    </row>
    <row r="126">
      <c r="A126" s="480"/>
      <c r="B126" s="480"/>
      <c r="F126" s="517"/>
    </row>
    <row r="127">
      <c r="A127" s="480"/>
      <c r="B127" s="480"/>
      <c r="F127" s="517"/>
    </row>
    <row r="128">
      <c r="A128" s="480"/>
      <c r="B128" s="480"/>
      <c r="F128" s="517"/>
    </row>
    <row r="129">
      <c r="A129" s="480"/>
      <c r="B129" s="480"/>
      <c r="F129" s="517"/>
    </row>
    <row r="130">
      <c r="A130" s="480"/>
      <c r="B130" s="480"/>
      <c r="F130" s="517"/>
    </row>
    <row r="131">
      <c r="A131" s="480"/>
      <c r="B131" s="480"/>
      <c r="F131" s="517"/>
    </row>
    <row r="132">
      <c r="A132" s="480"/>
      <c r="B132" s="480"/>
      <c r="F132" s="517"/>
    </row>
    <row r="133">
      <c r="A133" s="480"/>
      <c r="B133" s="480"/>
      <c r="F133" s="517"/>
    </row>
    <row r="134">
      <c r="A134" s="480"/>
      <c r="B134" s="480"/>
      <c r="F134" s="517"/>
    </row>
    <row r="135">
      <c r="A135" s="480"/>
      <c r="B135" s="480"/>
      <c r="F135" s="517"/>
    </row>
    <row r="136">
      <c r="A136" s="480"/>
      <c r="B136" s="480"/>
      <c r="F136" s="517"/>
    </row>
    <row r="137">
      <c r="A137" s="480"/>
      <c r="B137" s="480"/>
      <c r="F137" s="517"/>
    </row>
    <row r="138">
      <c r="A138" s="480"/>
      <c r="B138" s="480"/>
      <c r="F138" s="517"/>
    </row>
    <row r="139">
      <c r="A139" s="480"/>
      <c r="B139" s="480"/>
      <c r="F139" s="517"/>
    </row>
    <row r="140">
      <c r="A140" s="480"/>
      <c r="B140" s="480"/>
      <c r="F140" s="517"/>
    </row>
    <row r="141">
      <c r="A141" s="480"/>
      <c r="B141" s="480"/>
      <c r="F141" s="517"/>
    </row>
    <row r="142">
      <c r="A142" s="480"/>
      <c r="B142" s="480"/>
      <c r="F142" s="517"/>
    </row>
    <row r="143">
      <c r="A143" s="480"/>
      <c r="B143" s="480"/>
      <c r="F143" s="517"/>
    </row>
    <row r="144">
      <c r="A144" s="480"/>
      <c r="B144" s="480"/>
      <c r="F144" s="517"/>
    </row>
    <row r="145">
      <c r="A145" s="480"/>
      <c r="B145" s="480"/>
      <c r="F145" s="517"/>
    </row>
    <row r="146">
      <c r="A146" s="480"/>
      <c r="B146" s="480"/>
      <c r="F146" s="517"/>
    </row>
    <row r="147">
      <c r="A147" s="480"/>
      <c r="B147" s="480"/>
      <c r="F147" s="517"/>
    </row>
    <row r="148">
      <c r="A148" s="480"/>
      <c r="B148" s="480"/>
      <c r="F148" s="517"/>
    </row>
    <row r="149">
      <c r="A149" s="480"/>
      <c r="B149" s="480"/>
      <c r="F149" s="517"/>
    </row>
    <row r="150">
      <c r="A150" s="480"/>
      <c r="B150" s="480"/>
      <c r="F150" s="517"/>
    </row>
    <row r="151">
      <c r="A151" s="480"/>
      <c r="B151" s="480"/>
      <c r="F151" s="517"/>
    </row>
    <row r="152">
      <c r="A152" s="480"/>
      <c r="B152" s="480"/>
      <c r="F152" s="517"/>
    </row>
    <row r="153">
      <c r="A153" s="480"/>
      <c r="B153" s="480"/>
      <c r="F153" s="517"/>
    </row>
    <row r="154">
      <c r="A154" s="480"/>
      <c r="B154" s="480"/>
      <c r="F154" s="517"/>
    </row>
    <row r="155">
      <c r="A155" s="480"/>
      <c r="B155" s="480"/>
      <c r="F155" s="517"/>
    </row>
    <row r="156">
      <c r="A156" s="480"/>
      <c r="B156" s="480"/>
      <c r="F156" s="517"/>
    </row>
    <row r="157">
      <c r="A157" s="480"/>
      <c r="B157" s="480"/>
      <c r="F157" s="517"/>
    </row>
    <row r="158">
      <c r="A158" s="480"/>
      <c r="B158" s="480"/>
      <c r="F158" s="517"/>
    </row>
    <row r="159">
      <c r="A159" s="480"/>
      <c r="B159" s="480"/>
      <c r="F159" s="517"/>
    </row>
    <row r="160">
      <c r="A160" s="480"/>
      <c r="B160" s="480"/>
      <c r="F160" s="517"/>
    </row>
    <row r="161">
      <c r="A161" s="480"/>
      <c r="B161" s="480"/>
      <c r="F161" s="517"/>
    </row>
    <row r="162">
      <c r="A162" s="480"/>
      <c r="B162" s="480"/>
      <c r="F162" s="517"/>
    </row>
    <row r="163">
      <c r="A163" s="480"/>
      <c r="B163" s="480"/>
      <c r="F163" s="517"/>
    </row>
    <row r="164">
      <c r="A164" s="480"/>
      <c r="B164" s="480"/>
      <c r="F164" s="517"/>
    </row>
    <row r="165">
      <c r="A165" s="480"/>
      <c r="B165" s="480"/>
      <c r="F165" s="517"/>
    </row>
    <row r="166">
      <c r="A166" s="480"/>
      <c r="B166" s="480"/>
      <c r="F166" s="517"/>
    </row>
    <row r="167">
      <c r="A167" s="480"/>
      <c r="B167" s="480"/>
      <c r="F167" s="517"/>
    </row>
    <row r="168">
      <c r="A168" s="480"/>
      <c r="B168" s="480"/>
      <c r="F168" s="517"/>
    </row>
    <row r="169">
      <c r="A169" s="480"/>
      <c r="B169" s="480"/>
      <c r="F169" s="517"/>
    </row>
    <row r="170">
      <c r="A170" s="480"/>
      <c r="B170" s="480"/>
      <c r="F170" s="517"/>
    </row>
    <row r="171">
      <c r="A171" s="480"/>
      <c r="B171" s="480"/>
      <c r="F171" s="517"/>
    </row>
    <row r="172">
      <c r="A172" s="480"/>
      <c r="B172" s="480"/>
      <c r="F172" s="517"/>
    </row>
    <row r="173">
      <c r="A173" s="480"/>
      <c r="B173" s="480"/>
      <c r="F173" s="517"/>
    </row>
    <row r="174">
      <c r="A174" s="480"/>
      <c r="B174" s="480"/>
      <c r="F174" s="517"/>
    </row>
    <row r="175">
      <c r="A175" s="480"/>
      <c r="B175" s="480"/>
      <c r="F175" s="517"/>
    </row>
    <row r="176">
      <c r="A176" s="480"/>
      <c r="B176" s="480"/>
      <c r="F176" s="517"/>
    </row>
    <row r="177">
      <c r="A177" s="480"/>
      <c r="B177" s="480"/>
      <c r="F177" s="517"/>
    </row>
    <row r="178">
      <c r="A178" s="480"/>
      <c r="B178" s="480"/>
      <c r="F178" s="517"/>
    </row>
    <row r="179">
      <c r="A179" s="480"/>
      <c r="B179" s="480"/>
      <c r="F179" s="517"/>
    </row>
    <row r="180">
      <c r="A180" s="480"/>
      <c r="B180" s="480"/>
      <c r="F180" s="517"/>
    </row>
    <row r="181">
      <c r="A181" s="480"/>
      <c r="B181" s="480"/>
      <c r="F181" s="517"/>
    </row>
    <row r="182">
      <c r="A182" s="480"/>
      <c r="B182" s="480"/>
      <c r="F182" s="517"/>
    </row>
    <row r="183">
      <c r="A183" s="480"/>
      <c r="B183" s="480"/>
      <c r="F183" s="517"/>
    </row>
    <row r="184">
      <c r="A184" s="480"/>
      <c r="B184" s="480"/>
      <c r="F184" s="517"/>
    </row>
    <row r="185">
      <c r="A185" s="480"/>
      <c r="B185" s="480"/>
      <c r="F185" s="517"/>
    </row>
    <row r="186">
      <c r="A186" s="480"/>
      <c r="B186" s="480"/>
      <c r="F186" s="517"/>
    </row>
    <row r="187">
      <c r="A187" s="480"/>
      <c r="B187" s="480"/>
      <c r="F187" s="517"/>
    </row>
    <row r="188">
      <c r="A188" s="480"/>
      <c r="B188" s="480"/>
      <c r="F188" s="517"/>
    </row>
    <row r="189">
      <c r="A189" s="480"/>
      <c r="B189" s="480"/>
      <c r="F189" s="517"/>
    </row>
    <row r="190">
      <c r="A190" s="480"/>
      <c r="B190" s="480"/>
      <c r="F190" s="517"/>
    </row>
    <row r="191">
      <c r="A191" s="480"/>
      <c r="B191" s="480"/>
      <c r="F191" s="517"/>
    </row>
    <row r="192">
      <c r="A192" s="480"/>
      <c r="B192" s="480"/>
      <c r="F192" s="517"/>
    </row>
    <row r="193">
      <c r="A193" s="480"/>
      <c r="B193" s="480"/>
      <c r="F193" s="517"/>
    </row>
    <row r="194">
      <c r="A194" s="480"/>
      <c r="B194" s="480"/>
      <c r="F194" s="517"/>
    </row>
    <row r="195">
      <c r="A195" s="480"/>
      <c r="B195" s="480"/>
      <c r="F195" s="517"/>
    </row>
    <row r="196">
      <c r="A196" s="480"/>
      <c r="B196" s="480"/>
      <c r="F196" s="517"/>
    </row>
    <row r="197">
      <c r="A197" s="480"/>
      <c r="B197" s="480"/>
      <c r="F197" s="517"/>
    </row>
    <row r="198">
      <c r="A198" s="480"/>
      <c r="B198" s="480"/>
      <c r="F198" s="517"/>
    </row>
    <row r="199">
      <c r="A199" s="480"/>
      <c r="B199" s="480"/>
      <c r="F199" s="517"/>
    </row>
    <row r="200">
      <c r="A200" s="480"/>
      <c r="B200" s="480"/>
      <c r="F200" s="517"/>
    </row>
    <row r="201">
      <c r="A201" s="480"/>
      <c r="B201" s="480"/>
      <c r="F201" s="517"/>
    </row>
    <row r="202">
      <c r="A202" s="480"/>
      <c r="B202" s="480"/>
      <c r="F202" s="517"/>
    </row>
    <row r="203">
      <c r="A203" s="480"/>
      <c r="B203" s="480"/>
      <c r="F203" s="517"/>
    </row>
    <row r="204">
      <c r="A204" s="480"/>
      <c r="B204" s="480"/>
      <c r="F204" s="517"/>
    </row>
    <row r="205">
      <c r="A205" s="480"/>
      <c r="B205" s="480"/>
      <c r="F205" s="517"/>
    </row>
    <row r="206">
      <c r="A206" s="480"/>
      <c r="B206" s="480"/>
      <c r="F206" s="517"/>
    </row>
    <row r="207">
      <c r="A207" s="480"/>
      <c r="B207" s="480"/>
      <c r="F207" s="517"/>
    </row>
    <row r="208">
      <c r="A208" s="480"/>
      <c r="B208" s="480"/>
      <c r="F208" s="517"/>
    </row>
    <row r="209">
      <c r="A209" s="480"/>
      <c r="B209" s="480"/>
      <c r="F209" s="517"/>
    </row>
    <row r="210">
      <c r="A210" s="480"/>
      <c r="B210" s="480"/>
      <c r="F210" s="517"/>
    </row>
    <row r="211">
      <c r="A211" s="480"/>
      <c r="B211" s="480"/>
      <c r="F211" s="517"/>
    </row>
    <row r="212">
      <c r="A212" s="480"/>
      <c r="B212" s="480"/>
      <c r="F212" s="517"/>
    </row>
    <row r="213">
      <c r="A213" s="480"/>
      <c r="B213" s="480"/>
      <c r="F213" s="517"/>
    </row>
    <row r="214">
      <c r="A214" s="480"/>
      <c r="B214" s="480"/>
      <c r="F214" s="517"/>
    </row>
    <row r="215">
      <c r="A215" s="480"/>
      <c r="B215" s="480"/>
      <c r="F215" s="517"/>
    </row>
    <row r="216">
      <c r="A216" s="480"/>
      <c r="B216" s="480"/>
      <c r="F216" s="517"/>
    </row>
    <row r="217">
      <c r="A217" s="480"/>
      <c r="B217" s="480"/>
      <c r="F217" s="517"/>
    </row>
    <row r="218">
      <c r="A218" s="480"/>
      <c r="B218" s="480"/>
      <c r="F218" s="517"/>
    </row>
    <row r="219">
      <c r="A219" s="480"/>
      <c r="B219" s="480"/>
      <c r="F219" s="517"/>
    </row>
    <row r="220">
      <c r="A220" s="480"/>
      <c r="B220" s="480"/>
      <c r="F220" s="517"/>
    </row>
    <row r="221">
      <c r="A221" s="480"/>
      <c r="B221" s="480"/>
      <c r="F221" s="517"/>
    </row>
    <row r="222">
      <c r="A222" s="480"/>
      <c r="B222" s="480"/>
      <c r="F222" s="517"/>
    </row>
    <row r="223">
      <c r="A223" s="480"/>
      <c r="B223" s="480"/>
      <c r="F223" s="517"/>
    </row>
    <row r="224">
      <c r="A224" s="480"/>
      <c r="B224" s="480"/>
      <c r="F224" s="517"/>
    </row>
    <row r="225">
      <c r="A225" s="480"/>
      <c r="B225" s="480"/>
      <c r="F225" s="517"/>
    </row>
    <row r="226">
      <c r="A226" s="480"/>
      <c r="B226" s="480"/>
      <c r="F226" s="517"/>
    </row>
    <row r="227">
      <c r="A227" s="480"/>
      <c r="B227" s="480"/>
      <c r="F227" s="517"/>
    </row>
    <row r="228">
      <c r="A228" s="480"/>
      <c r="B228" s="480"/>
      <c r="F228" s="517"/>
    </row>
    <row r="229">
      <c r="A229" s="480"/>
      <c r="B229" s="480"/>
      <c r="F229" s="517"/>
    </row>
    <row r="230">
      <c r="A230" s="480"/>
      <c r="B230" s="480"/>
      <c r="F230" s="517"/>
    </row>
    <row r="231">
      <c r="A231" s="480"/>
      <c r="B231" s="480"/>
      <c r="F231" s="517"/>
    </row>
    <row r="232">
      <c r="A232" s="480"/>
      <c r="B232" s="480"/>
      <c r="F232" s="517"/>
    </row>
    <row r="233">
      <c r="A233" s="480"/>
      <c r="B233" s="480"/>
      <c r="F233" s="517"/>
    </row>
    <row r="234">
      <c r="A234" s="480"/>
      <c r="B234" s="480"/>
      <c r="F234" s="517"/>
    </row>
    <row r="235">
      <c r="A235" s="480"/>
      <c r="B235" s="480"/>
      <c r="F235" s="517"/>
    </row>
    <row r="236">
      <c r="A236" s="480"/>
      <c r="B236" s="480"/>
      <c r="F236" s="517"/>
    </row>
    <row r="237">
      <c r="A237" s="480"/>
      <c r="B237" s="480"/>
      <c r="F237" s="517"/>
    </row>
    <row r="238">
      <c r="A238" s="480"/>
      <c r="B238" s="480"/>
      <c r="F238" s="517"/>
    </row>
    <row r="239">
      <c r="A239" s="480"/>
      <c r="B239" s="480"/>
      <c r="F239" s="517"/>
    </row>
    <row r="240">
      <c r="A240" s="480"/>
      <c r="B240" s="480"/>
      <c r="F240" s="517"/>
    </row>
    <row r="241">
      <c r="A241" s="480"/>
      <c r="B241" s="480"/>
      <c r="F241" s="517"/>
    </row>
    <row r="242">
      <c r="A242" s="480"/>
      <c r="B242" s="480"/>
      <c r="F242" s="517"/>
    </row>
    <row r="243">
      <c r="A243" s="480"/>
      <c r="B243" s="480"/>
      <c r="F243" s="517"/>
    </row>
    <row r="244">
      <c r="A244" s="480"/>
      <c r="B244" s="480"/>
      <c r="F244" s="517"/>
    </row>
    <row r="245">
      <c r="A245" s="480"/>
      <c r="B245" s="480"/>
      <c r="F245" s="517"/>
    </row>
    <row r="246">
      <c r="A246" s="480"/>
      <c r="B246" s="480"/>
      <c r="F246" s="517"/>
    </row>
    <row r="247">
      <c r="A247" s="480"/>
      <c r="B247" s="480"/>
      <c r="F247" s="517"/>
    </row>
    <row r="248">
      <c r="A248" s="480"/>
      <c r="B248" s="480"/>
      <c r="F248" s="517"/>
    </row>
    <row r="249">
      <c r="A249" s="480"/>
      <c r="B249" s="480"/>
      <c r="F249" s="517"/>
    </row>
    <row r="250">
      <c r="A250" s="480"/>
      <c r="B250" s="480"/>
      <c r="F250" s="517"/>
    </row>
    <row r="251">
      <c r="A251" s="480"/>
      <c r="B251" s="480"/>
      <c r="F251" s="517"/>
    </row>
    <row r="252">
      <c r="A252" s="480"/>
      <c r="B252" s="480"/>
      <c r="F252" s="517"/>
    </row>
    <row r="253">
      <c r="A253" s="480"/>
      <c r="B253" s="480"/>
      <c r="F253" s="517"/>
    </row>
    <row r="254">
      <c r="A254" s="480"/>
      <c r="B254" s="480"/>
      <c r="F254" s="517"/>
    </row>
    <row r="255">
      <c r="A255" s="480"/>
      <c r="B255" s="480"/>
      <c r="F255" s="517"/>
    </row>
    <row r="256">
      <c r="A256" s="480"/>
      <c r="B256" s="480"/>
      <c r="F256" s="517"/>
    </row>
    <row r="257">
      <c r="A257" s="480"/>
      <c r="B257" s="480"/>
      <c r="F257" s="517"/>
    </row>
    <row r="258">
      <c r="A258" s="480"/>
      <c r="B258" s="480"/>
      <c r="F258" s="517"/>
    </row>
    <row r="259">
      <c r="A259" s="480"/>
      <c r="B259" s="480"/>
      <c r="F259" s="517"/>
    </row>
    <row r="260">
      <c r="A260" s="480"/>
      <c r="B260" s="480"/>
      <c r="F260" s="517"/>
    </row>
    <row r="261">
      <c r="A261" s="480"/>
      <c r="B261" s="480"/>
      <c r="F261" s="517"/>
    </row>
    <row r="262">
      <c r="A262" s="480"/>
      <c r="B262" s="480"/>
      <c r="F262" s="517"/>
    </row>
    <row r="263">
      <c r="A263" s="480"/>
      <c r="B263" s="480"/>
      <c r="F263" s="517"/>
    </row>
    <row r="264">
      <c r="A264" s="480"/>
      <c r="B264" s="480"/>
      <c r="F264" s="517"/>
    </row>
    <row r="265">
      <c r="A265" s="480"/>
      <c r="B265" s="480"/>
      <c r="F265" s="517"/>
    </row>
    <row r="266">
      <c r="A266" s="480"/>
      <c r="B266" s="480"/>
      <c r="F266" s="517"/>
    </row>
    <row r="267">
      <c r="A267" s="480"/>
      <c r="B267" s="480"/>
      <c r="F267" s="517"/>
    </row>
    <row r="268">
      <c r="A268" s="480"/>
      <c r="B268" s="480"/>
      <c r="F268" s="517"/>
    </row>
    <row r="269">
      <c r="A269" s="480"/>
      <c r="B269" s="480"/>
      <c r="F269" s="517"/>
    </row>
    <row r="270">
      <c r="A270" s="480"/>
      <c r="B270" s="480"/>
      <c r="F270" s="517"/>
    </row>
    <row r="271">
      <c r="A271" s="480"/>
      <c r="B271" s="480"/>
      <c r="F271" s="517"/>
    </row>
    <row r="272">
      <c r="A272" s="480"/>
      <c r="B272" s="480"/>
      <c r="F272" s="517"/>
    </row>
    <row r="273">
      <c r="A273" s="480"/>
      <c r="B273" s="480"/>
      <c r="F273" s="517"/>
    </row>
    <row r="274">
      <c r="A274" s="480"/>
      <c r="B274" s="480"/>
      <c r="F274" s="517"/>
    </row>
    <row r="275">
      <c r="A275" s="480"/>
      <c r="B275" s="480"/>
      <c r="F275" s="517"/>
    </row>
    <row r="276">
      <c r="A276" s="480"/>
      <c r="B276" s="480"/>
      <c r="F276" s="517"/>
    </row>
    <row r="277">
      <c r="A277" s="480"/>
      <c r="B277" s="480"/>
      <c r="F277" s="517"/>
    </row>
    <row r="278">
      <c r="A278" s="480"/>
      <c r="B278" s="480"/>
      <c r="F278" s="517"/>
    </row>
    <row r="279">
      <c r="A279" s="480"/>
      <c r="B279" s="480"/>
      <c r="F279" s="517"/>
    </row>
    <row r="280">
      <c r="A280" s="480"/>
      <c r="B280" s="480"/>
      <c r="F280" s="517"/>
    </row>
    <row r="281">
      <c r="A281" s="480"/>
      <c r="B281" s="480"/>
      <c r="F281" s="517"/>
    </row>
    <row r="282">
      <c r="A282" s="480"/>
      <c r="B282" s="480"/>
      <c r="F282" s="517"/>
    </row>
    <row r="283">
      <c r="A283" s="480"/>
      <c r="B283" s="480"/>
      <c r="F283" s="517"/>
    </row>
    <row r="284">
      <c r="A284" s="480"/>
      <c r="B284" s="480"/>
      <c r="F284" s="517"/>
    </row>
    <row r="285">
      <c r="A285" s="480"/>
      <c r="B285" s="480"/>
      <c r="F285" s="517"/>
    </row>
    <row r="286">
      <c r="A286" s="480"/>
      <c r="B286" s="480"/>
      <c r="F286" s="517"/>
    </row>
    <row r="287">
      <c r="A287" s="480"/>
      <c r="B287" s="480"/>
      <c r="F287" s="517"/>
    </row>
    <row r="288">
      <c r="A288" s="480"/>
      <c r="B288" s="480"/>
      <c r="F288" s="517"/>
    </row>
    <row r="289">
      <c r="A289" s="480"/>
      <c r="B289" s="480"/>
      <c r="F289" s="517"/>
    </row>
    <row r="290">
      <c r="A290" s="480"/>
      <c r="B290" s="480"/>
      <c r="F290" s="517"/>
    </row>
    <row r="291">
      <c r="A291" s="480"/>
      <c r="B291" s="480"/>
      <c r="F291" s="517"/>
    </row>
    <row r="292">
      <c r="A292" s="480"/>
      <c r="B292" s="480"/>
      <c r="F292" s="517"/>
    </row>
    <row r="293">
      <c r="A293" s="480"/>
      <c r="B293" s="480"/>
      <c r="F293" s="517"/>
    </row>
    <row r="294">
      <c r="A294" s="480"/>
      <c r="B294" s="480"/>
      <c r="F294" s="517"/>
    </row>
    <row r="295">
      <c r="A295" s="480"/>
      <c r="B295" s="480"/>
      <c r="F295" s="517"/>
    </row>
    <row r="296">
      <c r="A296" s="480"/>
      <c r="B296" s="480"/>
      <c r="F296" s="517"/>
    </row>
    <row r="297">
      <c r="A297" s="480"/>
      <c r="B297" s="480"/>
      <c r="F297" s="517"/>
    </row>
    <row r="298">
      <c r="A298" s="480"/>
      <c r="B298" s="480"/>
      <c r="F298" s="517"/>
    </row>
    <row r="299">
      <c r="A299" s="480"/>
      <c r="B299" s="480"/>
      <c r="F299" s="517"/>
    </row>
    <row r="300">
      <c r="A300" s="480"/>
      <c r="B300" s="480"/>
      <c r="F300" s="517"/>
    </row>
    <row r="301">
      <c r="A301" s="480"/>
      <c r="B301" s="480"/>
      <c r="F301" s="517"/>
    </row>
    <row r="302">
      <c r="A302" s="480"/>
      <c r="B302" s="480"/>
      <c r="F302" s="517"/>
    </row>
    <row r="303">
      <c r="A303" s="480"/>
      <c r="B303" s="480"/>
      <c r="F303" s="517"/>
    </row>
    <row r="304">
      <c r="A304" s="480"/>
      <c r="B304" s="480"/>
      <c r="F304" s="517"/>
    </row>
    <row r="305">
      <c r="A305" s="480"/>
      <c r="B305" s="480"/>
      <c r="F305" s="517"/>
    </row>
    <row r="306">
      <c r="A306" s="480"/>
      <c r="B306" s="480"/>
      <c r="F306" s="517"/>
    </row>
    <row r="307">
      <c r="A307" s="480"/>
      <c r="B307" s="480"/>
      <c r="F307" s="517"/>
    </row>
    <row r="308">
      <c r="A308" s="480"/>
      <c r="B308" s="480"/>
      <c r="F308" s="517"/>
    </row>
    <row r="309">
      <c r="A309" s="480"/>
      <c r="B309" s="480"/>
      <c r="F309" s="517"/>
    </row>
    <row r="310">
      <c r="A310" s="480"/>
      <c r="B310" s="480"/>
      <c r="F310" s="517"/>
    </row>
    <row r="311">
      <c r="A311" s="480"/>
      <c r="B311" s="480"/>
      <c r="F311" s="517"/>
    </row>
    <row r="312">
      <c r="A312" s="480"/>
      <c r="B312" s="480"/>
      <c r="F312" s="517"/>
    </row>
    <row r="313">
      <c r="A313" s="480"/>
      <c r="B313" s="480"/>
      <c r="F313" s="517"/>
    </row>
    <row r="314">
      <c r="A314" s="480"/>
      <c r="B314" s="480"/>
      <c r="F314" s="517"/>
    </row>
    <row r="315">
      <c r="A315" s="480"/>
      <c r="B315" s="480"/>
      <c r="F315" s="517"/>
    </row>
    <row r="316">
      <c r="A316" s="480"/>
      <c r="B316" s="480"/>
      <c r="F316" s="517"/>
    </row>
    <row r="317">
      <c r="A317" s="480"/>
      <c r="B317" s="480"/>
      <c r="F317" s="517"/>
    </row>
    <row r="318">
      <c r="A318" s="480"/>
      <c r="B318" s="480"/>
      <c r="F318" s="517"/>
    </row>
    <row r="319">
      <c r="A319" s="480"/>
      <c r="B319" s="480"/>
      <c r="F319" s="517"/>
    </row>
    <row r="320">
      <c r="A320" s="480"/>
      <c r="B320" s="480"/>
      <c r="F320" s="517"/>
    </row>
    <row r="321">
      <c r="A321" s="480"/>
      <c r="B321" s="480"/>
      <c r="F321" s="517"/>
    </row>
    <row r="322">
      <c r="A322" s="480"/>
      <c r="B322" s="480"/>
      <c r="F322" s="517"/>
    </row>
    <row r="323">
      <c r="A323" s="480"/>
      <c r="B323" s="480"/>
      <c r="F323" s="517"/>
    </row>
    <row r="324">
      <c r="A324" s="480"/>
      <c r="B324" s="480"/>
      <c r="F324" s="517"/>
    </row>
    <row r="325">
      <c r="A325" s="480"/>
      <c r="B325" s="480"/>
      <c r="F325" s="517"/>
    </row>
    <row r="326">
      <c r="A326" s="480"/>
      <c r="B326" s="480"/>
      <c r="F326" s="517"/>
    </row>
    <row r="327">
      <c r="A327" s="480"/>
      <c r="B327" s="480"/>
      <c r="F327" s="517"/>
    </row>
    <row r="328">
      <c r="A328" s="480"/>
      <c r="B328" s="480"/>
      <c r="F328" s="517"/>
    </row>
    <row r="329">
      <c r="A329" s="480"/>
      <c r="B329" s="480"/>
      <c r="F329" s="517"/>
    </row>
    <row r="330">
      <c r="A330" s="480"/>
      <c r="B330" s="480"/>
      <c r="F330" s="517"/>
    </row>
    <row r="331">
      <c r="A331" s="480"/>
      <c r="B331" s="480"/>
      <c r="F331" s="517"/>
    </row>
    <row r="332">
      <c r="A332" s="480"/>
      <c r="B332" s="480"/>
      <c r="F332" s="517"/>
    </row>
    <row r="333">
      <c r="A333" s="480"/>
      <c r="B333" s="480"/>
      <c r="F333" s="517"/>
    </row>
    <row r="334">
      <c r="A334" s="480"/>
      <c r="B334" s="480"/>
      <c r="F334" s="517"/>
    </row>
    <row r="335">
      <c r="A335" s="480"/>
      <c r="B335" s="480"/>
      <c r="F335" s="517"/>
    </row>
    <row r="336">
      <c r="A336" s="480"/>
      <c r="B336" s="480"/>
      <c r="F336" s="517"/>
    </row>
    <row r="337">
      <c r="A337" s="480"/>
      <c r="B337" s="480"/>
      <c r="F337" s="517"/>
    </row>
    <row r="338">
      <c r="A338" s="480"/>
      <c r="B338" s="480"/>
      <c r="F338" s="517"/>
    </row>
    <row r="339">
      <c r="A339" s="480"/>
      <c r="B339" s="480"/>
      <c r="F339" s="517"/>
    </row>
    <row r="340">
      <c r="A340" s="480"/>
      <c r="B340" s="480"/>
      <c r="F340" s="517"/>
    </row>
    <row r="341">
      <c r="A341" s="480"/>
      <c r="B341" s="480"/>
      <c r="F341" s="517"/>
    </row>
    <row r="342">
      <c r="A342" s="480"/>
      <c r="B342" s="480"/>
      <c r="F342" s="517"/>
    </row>
    <row r="343">
      <c r="A343" s="480"/>
      <c r="B343" s="480"/>
      <c r="F343" s="517"/>
    </row>
    <row r="344">
      <c r="A344" s="480"/>
      <c r="B344" s="480"/>
      <c r="F344" s="517"/>
    </row>
    <row r="345">
      <c r="A345" s="480"/>
      <c r="B345" s="480"/>
      <c r="F345" s="517"/>
    </row>
    <row r="346">
      <c r="A346" s="480"/>
      <c r="B346" s="480"/>
      <c r="F346" s="517"/>
    </row>
    <row r="347">
      <c r="A347" s="480"/>
      <c r="B347" s="480"/>
      <c r="F347" s="517"/>
    </row>
    <row r="348">
      <c r="A348" s="480"/>
      <c r="B348" s="480"/>
      <c r="F348" s="517"/>
    </row>
    <row r="349">
      <c r="A349" s="480"/>
      <c r="B349" s="480"/>
      <c r="F349" s="517"/>
    </row>
    <row r="350">
      <c r="A350" s="480"/>
      <c r="B350" s="480"/>
      <c r="F350" s="517"/>
    </row>
    <row r="351">
      <c r="A351" s="480"/>
      <c r="B351" s="480"/>
      <c r="F351" s="517"/>
    </row>
    <row r="352">
      <c r="A352" s="480"/>
      <c r="B352" s="480"/>
      <c r="F352" s="517"/>
    </row>
    <row r="353">
      <c r="A353" s="480"/>
      <c r="B353" s="480"/>
      <c r="F353" s="517"/>
    </row>
    <row r="354">
      <c r="A354" s="480"/>
      <c r="B354" s="480"/>
      <c r="F354" s="517"/>
    </row>
    <row r="355">
      <c r="A355" s="480"/>
      <c r="B355" s="480"/>
      <c r="F355" s="517"/>
    </row>
    <row r="356">
      <c r="A356" s="480"/>
      <c r="B356" s="480"/>
      <c r="F356" s="517"/>
    </row>
    <row r="357">
      <c r="A357" s="480"/>
      <c r="B357" s="480"/>
      <c r="F357" s="517"/>
    </row>
    <row r="358">
      <c r="A358" s="480"/>
      <c r="B358" s="480"/>
      <c r="F358" s="517"/>
    </row>
    <row r="359">
      <c r="A359" s="480"/>
      <c r="B359" s="480"/>
      <c r="F359" s="517"/>
    </row>
    <row r="360">
      <c r="A360" s="480"/>
      <c r="B360" s="480"/>
      <c r="F360" s="517"/>
    </row>
    <row r="361">
      <c r="A361" s="480"/>
      <c r="B361" s="480"/>
      <c r="F361" s="517"/>
    </row>
    <row r="362">
      <c r="A362" s="480"/>
      <c r="B362" s="480"/>
      <c r="F362" s="517"/>
    </row>
    <row r="363">
      <c r="A363" s="480"/>
      <c r="B363" s="480"/>
      <c r="F363" s="517"/>
    </row>
    <row r="364">
      <c r="A364" s="480"/>
      <c r="B364" s="480"/>
      <c r="F364" s="517"/>
    </row>
    <row r="365">
      <c r="A365" s="480"/>
      <c r="B365" s="480"/>
      <c r="F365" s="517"/>
    </row>
    <row r="366">
      <c r="A366" s="480"/>
      <c r="B366" s="480"/>
      <c r="F366" s="517"/>
    </row>
    <row r="367">
      <c r="A367" s="480"/>
      <c r="B367" s="480"/>
      <c r="F367" s="517"/>
    </row>
    <row r="368">
      <c r="A368" s="480"/>
      <c r="B368" s="480"/>
      <c r="F368" s="517"/>
    </row>
    <row r="369">
      <c r="A369" s="480"/>
      <c r="B369" s="480"/>
      <c r="F369" s="517"/>
    </row>
    <row r="370">
      <c r="A370" s="480"/>
      <c r="B370" s="480"/>
      <c r="F370" s="517"/>
    </row>
    <row r="371">
      <c r="A371" s="480"/>
      <c r="B371" s="480"/>
      <c r="F371" s="517"/>
    </row>
    <row r="372">
      <c r="A372" s="480"/>
      <c r="B372" s="480"/>
      <c r="F372" s="517"/>
    </row>
    <row r="373">
      <c r="A373" s="480"/>
      <c r="B373" s="480"/>
      <c r="F373" s="517"/>
    </row>
    <row r="374">
      <c r="A374" s="480"/>
      <c r="B374" s="480"/>
      <c r="F374" s="517"/>
    </row>
    <row r="375">
      <c r="A375" s="480"/>
      <c r="B375" s="480"/>
      <c r="F375" s="517"/>
    </row>
    <row r="376">
      <c r="A376" s="480"/>
      <c r="B376" s="480"/>
      <c r="F376" s="517"/>
    </row>
    <row r="377">
      <c r="A377" s="480"/>
      <c r="B377" s="480"/>
      <c r="F377" s="517"/>
    </row>
    <row r="378">
      <c r="A378" s="480"/>
      <c r="B378" s="480"/>
      <c r="F378" s="517"/>
    </row>
    <row r="379">
      <c r="A379" s="480"/>
      <c r="B379" s="480"/>
      <c r="F379" s="517"/>
    </row>
    <row r="380">
      <c r="A380" s="480"/>
      <c r="B380" s="480"/>
      <c r="F380" s="517"/>
    </row>
    <row r="381">
      <c r="A381" s="480"/>
      <c r="B381" s="480"/>
      <c r="F381" s="517"/>
    </row>
    <row r="382">
      <c r="A382" s="480"/>
      <c r="B382" s="480"/>
      <c r="F382" s="517"/>
    </row>
    <row r="383">
      <c r="A383" s="480"/>
      <c r="B383" s="480"/>
      <c r="F383" s="517"/>
    </row>
    <row r="384">
      <c r="A384" s="480"/>
      <c r="B384" s="480"/>
      <c r="F384" s="517"/>
    </row>
    <row r="385">
      <c r="A385" s="480"/>
      <c r="B385" s="480"/>
      <c r="F385" s="517"/>
    </row>
    <row r="386">
      <c r="A386" s="480"/>
      <c r="B386" s="480"/>
      <c r="F386" s="517"/>
    </row>
    <row r="387">
      <c r="A387" s="480"/>
      <c r="B387" s="480"/>
      <c r="F387" s="517"/>
    </row>
    <row r="388">
      <c r="A388" s="480"/>
      <c r="B388" s="480"/>
      <c r="F388" s="517"/>
    </row>
    <row r="389">
      <c r="A389" s="480"/>
      <c r="B389" s="480"/>
      <c r="F389" s="517"/>
    </row>
    <row r="390">
      <c r="A390" s="480"/>
      <c r="B390" s="480"/>
      <c r="F390" s="517"/>
    </row>
    <row r="391">
      <c r="A391" s="480"/>
      <c r="B391" s="480"/>
      <c r="F391" s="517"/>
    </row>
    <row r="392">
      <c r="A392" s="480"/>
      <c r="B392" s="480"/>
      <c r="F392" s="517"/>
    </row>
    <row r="393">
      <c r="A393" s="480"/>
      <c r="B393" s="480"/>
      <c r="F393" s="517"/>
    </row>
    <row r="394">
      <c r="A394" s="480"/>
      <c r="B394" s="480"/>
      <c r="F394" s="517"/>
    </row>
    <row r="395">
      <c r="A395" s="480"/>
      <c r="B395" s="480"/>
      <c r="F395" s="517"/>
    </row>
    <row r="396">
      <c r="A396" s="480"/>
      <c r="B396" s="480"/>
      <c r="F396" s="517"/>
    </row>
    <row r="397">
      <c r="A397" s="480"/>
      <c r="B397" s="480"/>
      <c r="F397" s="517"/>
    </row>
    <row r="398">
      <c r="A398" s="480"/>
      <c r="B398" s="480"/>
      <c r="F398" s="517"/>
    </row>
    <row r="399">
      <c r="A399" s="480"/>
      <c r="B399" s="480"/>
      <c r="F399" s="517"/>
    </row>
    <row r="400">
      <c r="A400" s="480"/>
      <c r="B400" s="480"/>
      <c r="F400" s="517"/>
    </row>
    <row r="401">
      <c r="A401" s="480"/>
      <c r="B401" s="480"/>
      <c r="F401" s="517"/>
    </row>
    <row r="402">
      <c r="A402" s="480"/>
      <c r="B402" s="480"/>
      <c r="F402" s="517"/>
    </row>
    <row r="403">
      <c r="A403" s="480"/>
      <c r="B403" s="480"/>
      <c r="F403" s="517"/>
    </row>
    <row r="404">
      <c r="A404" s="480"/>
      <c r="B404" s="480"/>
      <c r="F404" s="517"/>
    </row>
    <row r="405">
      <c r="A405" s="480"/>
      <c r="B405" s="480"/>
      <c r="F405" s="517"/>
    </row>
    <row r="406">
      <c r="A406" s="480"/>
      <c r="B406" s="480"/>
      <c r="F406" s="517"/>
    </row>
    <row r="407">
      <c r="A407" s="480"/>
      <c r="B407" s="480"/>
      <c r="F407" s="517"/>
    </row>
    <row r="408">
      <c r="A408" s="480"/>
      <c r="B408" s="480"/>
      <c r="F408" s="517"/>
    </row>
    <row r="409">
      <c r="A409" s="480"/>
      <c r="B409" s="480"/>
      <c r="F409" s="517"/>
    </row>
    <row r="410">
      <c r="A410" s="480"/>
      <c r="B410" s="480"/>
      <c r="F410" s="517"/>
    </row>
    <row r="411">
      <c r="A411" s="480"/>
      <c r="B411" s="480"/>
      <c r="F411" s="517"/>
    </row>
    <row r="412">
      <c r="A412" s="480"/>
      <c r="B412" s="480"/>
      <c r="F412" s="517"/>
    </row>
    <row r="413">
      <c r="A413" s="480"/>
      <c r="B413" s="480"/>
      <c r="F413" s="517"/>
    </row>
    <row r="414">
      <c r="A414" s="480"/>
      <c r="B414" s="480"/>
      <c r="F414" s="517"/>
    </row>
    <row r="415">
      <c r="A415" s="480"/>
      <c r="B415" s="480"/>
      <c r="F415" s="517"/>
    </row>
    <row r="416">
      <c r="A416" s="480"/>
      <c r="B416" s="480"/>
      <c r="F416" s="517"/>
    </row>
    <row r="417">
      <c r="A417" s="480"/>
      <c r="B417" s="480"/>
      <c r="F417" s="517"/>
    </row>
    <row r="418">
      <c r="A418" s="480"/>
      <c r="B418" s="480"/>
      <c r="F418" s="517"/>
    </row>
    <row r="419">
      <c r="A419" s="480"/>
      <c r="B419" s="480"/>
      <c r="F419" s="517"/>
    </row>
    <row r="420">
      <c r="A420" s="480"/>
      <c r="B420" s="480"/>
      <c r="F420" s="517"/>
    </row>
    <row r="421">
      <c r="A421" s="480"/>
      <c r="B421" s="480"/>
      <c r="F421" s="517"/>
    </row>
    <row r="422">
      <c r="A422" s="480"/>
      <c r="B422" s="480"/>
      <c r="F422" s="517"/>
    </row>
    <row r="423">
      <c r="A423" s="480"/>
      <c r="B423" s="480"/>
      <c r="F423" s="517"/>
    </row>
    <row r="424">
      <c r="A424" s="480"/>
      <c r="B424" s="480"/>
      <c r="F424" s="517"/>
    </row>
    <row r="425">
      <c r="A425" s="480"/>
      <c r="B425" s="480"/>
      <c r="F425" s="517"/>
    </row>
    <row r="426">
      <c r="A426" s="480"/>
      <c r="B426" s="480"/>
      <c r="F426" s="517"/>
    </row>
    <row r="427">
      <c r="A427" s="480"/>
      <c r="B427" s="480"/>
      <c r="F427" s="517"/>
    </row>
    <row r="428">
      <c r="A428" s="480"/>
      <c r="B428" s="480"/>
      <c r="F428" s="517"/>
    </row>
    <row r="429">
      <c r="A429" s="480"/>
      <c r="B429" s="480"/>
      <c r="F429" s="517"/>
    </row>
    <row r="430">
      <c r="A430" s="480"/>
      <c r="B430" s="480"/>
      <c r="F430" s="517"/>
    </row>
    <row r="431">
      <c r="A431" s="480"/>
      <c r="B431" s="480"/>
      <c r="F431" s="517"/>
    </row>
    <row r="432">
      <c r="A432" s="480"/>
      <c r="B432" s="480"/>
      <c r="F432" s="517"/>
    </row>
    <row r="433">
      <c r="A433" s="480"/>
      <c r="B433" s="480"/>
      <c r="F433" s="517"/>
    </row>
    <row r="434">
      <c r="A434" s="480"/>
      <c r="B434" s="480"/>
      <c r="F434" s="517"/>
    </row>
    <row r="435">
      <c r="A435" s="480"/>
      <c r="B435" s="480"/>
      <c r="F435" s="517"/>
    </row>
    <row r="436">
      <c r="A436" s="480"/>
      <c r="B436" s="480"/>
      <c r="F436" s="517"/>
    </row>
    <row r="437">
      <c r="A437" s="480"/>
      <c r="B437" s="480"/>
      <c r="F437" s="517"/>
    </row>
    <row r="438">
      <c r="A438" s="480"/>
      <c r="B438" s="480"/>
      <c r="F438" s="517"/>
    </row>
    <row r="439">
      <c r="A439" s="480"/>
      <c r="B439" s="480"/>
      <c r="F439" s="517"/>
    </row>
    <row r="440">
      <c r="A440" s="480"/>
      <c r="B440" s="480"/>
      <c r="F440" s="517"/>
    </row>
    <row r="441">
      <c r="A441" s="480"/>
      <c r="B441" s="480"/>
      <c r="F441" s="517"/>
    </row>
    <row r="442">
      <c r="A442" s="480"/>
      <c r="B442" s="480"/>
      <c r="F442" s="517"/>
    </row>
    <row r="443">
      <c r="A443" s="480"/>
      <c r="B443" s="480"/>
      <c r="F443" s="517"/>
    </row>
    <row r="444">
      <c r="A444" s="480"/>
      <c r="B444" s="480"/>
      <c r="F444" s="517"/>
    </row>
    <row r="445">
      <c r="A445" s="480"/>
      <c r="B445" s="480"/>
      <c r="F445" s="517"/>
    </row>
    <row r="446">
      <c r="A446" s="480"/>
      <c r="B446" s="480"/>
      <c r="F446" s="517"/>
    </row>
    <row r="447">
      <c r="A447" s="480"/>
      <c r="B447" s="480"/>
      <c r="F447" s="517"/>
    </row>
    <row r="448">
      <c r="A448" s="480"/>
      <c r="B448" s="480"/>
      <c r="F448" s="517"/>
    </row>
    <row r="449">
      <c r="A449" s="480"/>
      <c r="B449" s="480"/>
      <c r="F449" s="517"/>
    </row>
    <row r="450">
      <c r="A450" s="480"/>
      <c r="B450" s="480"/>
      <c r="F450" s="517"/>
    </row>
    <row r="451">
      <c r="A451" s="480"/>
      <c r="B451" s="480"/>
      <c r="F451" s="517"/>
    </row>
    <row r="452">
      <c r="A452" s="480"/>
      <c r="B452" s="480"/>
      <c r="F452" s="517"/>
    </row>
    <row r="453">
      <c r="A453" s="480"/>
      <c r="B453" s="480"/>
      <c r="F453" s="517"/>
    </row>
    <row r="454">
      <c r="A454" s="480"/>
      <c r="B454" s="480"/>
      <c r="F454" s="517"/>
    </row>
    <row r="455">
      <c r="A455" s="480"/>
      <c r="B455" s="480"/>
      <c r="F455" s="517"/>
    </row>
    <row r="456">
      <c r="A456" s="480"/>
      <c r="B456" s="480"/>
      <c r="F456" s="517"/>
    </row>
    <row r="457">
      <c r="A457" s="480"/>
      <c r="B457" s="480"/>
      <c r="F457" s="517"/>
    </row>
    <row r="458">
      <c r="A458" s="480"/>
      <c r="B458" s="480"/>
      <c r="F458" s="517"/>
    </row>
    <row r="459">
      <c r="A459" s="480"/>
      <c r="B459" s="480"/>
      <c r="F459" s="517"/>
    </row>
    <row r="460">
      <c r="A460" s="480"/>
      <c r="B460" s="480"/>
      <c r="F460" s="517"/>
    </row>
    <row r="461">
      <c r="A461" s="480"/>
      <c r="B461" s="480"/>
      <c r="F461" s="517"/>
    </row>
    <row r="462">
      <c r="A462" s="480"/>
      <c r="B462" s="480"/>
      <c r="F462" s="517"/>
    </row>
    <row r="463">
      <c r="A463" s="480"/>
      <c r="B463" s="480"/>
      <c r="F463" s="517"/>
    </row>
    <row r="464">
      <c r="A464" s="480"/>
      <c r="B464" s="480"/>
      <c r="F464" s="517"/>
    </row>
    <row r="465">
      <c r="A465" s="480"/>
      <c r="B465" s="480"/>
      <c r="F465" s="517"/>
    </row>
    <row r="466">
      <c r="A466" s="480"/>
      <c r="B466" s="480"/>
      <c r="F466" s="517"/>
    </row>
    <row r="467">
      <c r="A467" s="480"/>
      <c r="B467" s="480"/>
      <c r="F467" s="517"/>
    </row>
    <row r="468">
      <c r="A468" s="480"/>
      <c r="B468" s="480"/>
      <c r="F468" s="517"/>
    </row>
    <row r="469">
      <c r="A469" s="480"/>
      <c r="B469" s="480"/>
      <c r="F469" s="517"/>
    </row>
    <row r="470">
      <c r="A470" s="480"/>
      <c r="B470" s="480"/>
      <c r="F470" s="517"/>
    </row>
    <row r="471">
      <c r="A471" s="480"/>
      <c r="B471" s="480"/>
      <c r="F471" s="517"/>
    </row>
    <row r="472">
      <c r="A472" s="480"/>
      <c r="B472" s="480"/>
      <c r="F472" s="517"/>
    </row>
    <row r="473">
      <c r="A473" s="480"/>
      <c r="B473" s="480"/>
      <c r="F473" s="517"/>
    </row>
    <row r="474">
      <c r="A474" s="480"/>
      <c r="B474" s="480"/>
      <c r="F474" s="517"/>
    </row>
    <row r="475">
      <c r="A475" s="480"/>
      <c r="B475" s="480"/>
      <c r="F475" s="517"/>
    </row>
    <row r="476">
      <c r="A476" s="480"/>
      <c r="B476" s="480"/>
      <c r="F476" s="517"/>
    </row>
    <row r="477">
      <c r="A477" s="480"/>
      <c r="B477" s="480"/>
      <c r="F477" s="517"/>
    </row>
    <row r="478">
      <c r="A478" s="480"/>
      <c r="B478" s="480"/>
      <c r="F478" s="517"/>
    </row>
    <row r="479">
      <c r="A479" s="480"/>
      <c r="B479" s="480"/>
      <c r="F479" s="517"/>
    </row>
    <row r="480">
      <c r="A480" s="480"/>
      <c r="B480" s="480"/>
      <c r="F480" s="517"/>
    </row>
    <row r="481">
      <c r="A481" s="480"/>
      <c r="B481" s="480"/>
      <c r="F481" s="517"/>
    </row>
    <row r="482">
      <c r="A482" s="480"/>
      <c r="B482" s="480"/>
      <c r="F482" s="517"/>
    </row>
    <row r="483">
      <c r="A483" s="480"/>
      <c r="B483" s="480"/>
      <c r="F483" s="517"/>
    </row>
    <row r="484">
      <c r="A484" s="480"/>
      <c r="B484" s="480"/>
      <c r="F484" s="517"/>
    </row>
    <row r="485">
      <c r="A485" s="480"/>
      <c r="B485" s="480"/>
      <c r="F485" s="517"/>
    </row>
    <row r="486">
      <c r="A486" s="480"/>
      <c r="B486" s="480"/>
      <c r="F486" s="517"/>
    </row>
    <row r="487">
      <c r="A487" s="480"/>
      <c r="B487" s="480"/>
      <c r="F487" s="517"/>
    </row>
    <row r="488">
      <c r="A488" s="480"/>
      <c r="B488" s="480"/>
      <c r="F488" s="517"/>
    </row>
    <row r="489">
      <c r="A489" s="480"/>
      <c r="B489" s="480"/>
      <c r="F489" s="517"/>
    </row>
    <row r="490">
      <c r="A490" s="480"/>
      <c r="B490" s="480"/>
      <c r="F490" s="517"/>
    </row>
    <row r="491">
      <c r="A491" s="480"/>
      <c r="B491" s="480"/>
      <c r="F491" s="517"/>
    </row>
    <row r="492">
      <c r="A492" s="480"/>
      <c r="B492" s="480"/>
      <c r="F492" s="517"/>
    </row>
    <row r="493">
      <c r="A493" s="480"/>
      <c r="B493" s="480"/>
      <c r="F493" s="517"/>
    </row>
    <row r="494">
      <c r="A494" s="480"/>
      <c r="B494" s="480"/>
      <c r="F494" s="517"/>
    </row>
    <row r="495">
      <c r="A495" s="480"/>
      <c r="B495" s="480"/>
      <c r="F495" s="517"/>
    </row>
    <row r="496">
      <c r="A496" s="480"/>
      <c r="B496" s="480"/>
      <c r="F496" s="517"/>
    </row>
    <row r="497">
      <c r="A497" s="480"/>
      <c r="B497" s="480"/>
      <c r="F497" s="517"/>
    </row>
    <row r="498">
      <c r="A498" s="480"/>
      <c r="B498" s="480"/>
      <c r="F498" s="517"/>
    </row>
    <row r="499">
      <c r="A499" s="480"/>
      <c r="B499" s="480"/>
      <c r="F499" s="517"/>
    </row>
    <row r="500">
      <c r="A500" s="480"/>
      <c r="B500" s="480"/>
      <c r="F500" s="517"/>
    </row>
    <row r="501">
      <c r="A501" s="480"/>
      <c r="B501" s="480"/>
      <c r="F501" s="517"/>
    </row>
    <row r="502">
      <c r="A502" s="480"/>
      <c r="B502" s="480"/>
      <c r="F502" s="517"/>
    </row>
    <row r="503">
      <c r="A503" s="480"/>
      <c r="B503" s="480"/>
      <c r="F503" s="517"/>
    </row>
    <row r="504">
      <c r="A504" s="480"/>
      <c r="B504" s="480"/>
      <c r="F504" s="517"/>
    </row>
    <row r="505">
      <c r="A505" s="480"/>
      <c r="B505" s="480"/>
      <c r="F505" s="517"/>
    </row>
    <row r="506">
      <c r="A506" s="480"/>
      <c r="B506" s="480"/>
      <c r="F506" s="517"/>
    </row>
    <row r="507">
      <c r="A507" s="480"/>
      <c r="B507" s="480"/>
      <c r="F507" s="517"/>
    </row>
    <row r="508">
      <c r="A508" s="480"/>
      <c r="B508" s="480"/>
      <c r="F508" s="517"/>
    </row>
    <row r="509">
      <c r="A509" s="480"/>
      <c r="B509" s="480"/>
      <c r="F509" s="517"/>
    </row>
    <row r="510">
      <c r="A510" s="480"/>
      <c r="B510" s="480"/>
      <c r="F510" s="517"/>
    </row>
    <row r="511">
      <c r="A511" s="480"/>
      <c r="B511" s="480"/>
      <c r="F511" s="517"/>
    </row>
    <row r="512">
      <c r="A512" s="480"/>
      <c r="B512" s="480"/>
      <c r="F512" s="517"/>
    </row>
    <row r="513">
      <c r="A513" s="480"/>
      <c r="B513" s="480"/>
      <c r="F513" s="517"/>
    </row>
    <row r="514">
      <c r="A514" s="480"/>
      <c r="B514" s="480"/>
      <c r="F514" s="517"/>
    </row>
    <row r="515">
      <c r="A515" s="480"/>
      <c r="B515" s="480"/>
      <c r="F515" s="517"/>
    </row>
    <row r="516">
      <c r="A516" s="480"/>
      <c r="B516" s="480"/>
      <c r="F516" s="517"/>
    </row>
    <row r="517">
      <c r="A517" s="480"/>
      <c r="B517" s="480"/>
      <c r="F517" s="517"/>
    </row>
    <row r="518">
      <c r="A518" s="480"/>
      <c r="B518" s="480"/>
      <c r="F518" s="517"/>
    </row>
    <row r="519">
      <c r="A519" s="480"/>
      <c r="B519" s="480"/>
      <c r="F519" s="517"/>
    </row>
    <row r="520">
      <c r="A520" s="480"/>
      <c r="B520" s="480"/>
      <c r="F520" s="517"/>
    </row>
    <row r="521">
      <c r="A521" s="480"/>
      <c r="B521" s="480"/>
      <c r="F521" s="517"/>
    </row>
    <row r="522">
      <c r="A522" s="480"/>
      <c r="B522" s="480"/>
      <c r="F522" s="517"/>
    </row>
    <row r="523">
      <c r="A523" s="480"/>
      <c r="B523" s="480"/>
      <c r="F523" s="517"/>
    </row>
    <row r="524">
      <c r="A524" s="480"/>
      <c r="B524" s="480"/>
      <c r="F524" s="517"/>
    </row>
    <row r="525">
      <c r="A525" s="480"/>
      <c r="B525" s="480"/>
      <c r="F525" s="517"/>
    </row>
    <row r="526">
      <c r="A526" s="480"/>
      <c r="B526" s="480"/>
      <c r="F526" s="517"/>
    </row>
    <row r="527">
      <c r="A527" s="480"/>
      <c r="B527" s="480"/>
      <c r="F527" s="517"/>
    </row>
    <row r="528">
      <c r="A528" s="480"/>
      <c r="B528" s="480"/>
      <c r="F528" s="517"/>
    </row>
    <row r="529">
      <c r="A529" s="480"/>
      <c r="B529" s="480"/>
      <c r="F529" s="517"/>
    </row>
    <row r="530">
      <c r="A530" s="480"/>
      <c r="B530" s="480"/>
      <c r="F530" s="517"/>
    </row>
    <row r="531">
      <c r="A531" s="480"/>
      <c r="B531" s="480"/>
      <c r="F531" s="517"/>
    </row>
    <row r="532">
      <c r="A532" s="480"/>
      <c r="B532" s="480"/>
      <c r="F532" s="517"/>
    </row>
    <row r="533">
      <c r="A533" s="480"/>
      <c r="B533" s="480"/>
      <c r="F533" s="517"/>
    </row>
    <row r="534">
      <c r="A534" s="480"/>
      <c r="B534" s="480"/>
      <c r="F534" s="517"/>
    </row>
    <row r="535">
      <c r="A535" s="480"/>
      <c r="B535" s="480"/>
      <c r="F535" s="517"/>
    </row>
    <row r="536">
      <c r="A536" s="480"/>
      <c r="B536" s="480"/>
      <c r="F536" s="517"/>
    </row>
    <row r="537">
      <c r="A537" s="480"/>
      <c r="B537" s="480"/>
      <c r="F537" s="517"/>
    </row>
    <row r="538">
      <c r="A538" s="480"/>
      <c r="B538" s="480"/>
      <c r="F538" s="517"/>
    </row>
    <row r="539">
      <c r="A539" s="480"/>
      <c r="B539" s="480"/>
      <c r="F539" s="517"/>
    </row>
    <row r="540">
      <c r="A540" s="480"/>
      <c r="B540" s="480"/>
      <c r="F540" s="517"/>
    </row>
    <row r="541">
      <c r="A541" s="480"/>
      <c r="B541" s="480"/>
      <c r="F541" s="517"/>
    </row>
    <row r="542">
      <c r="A542" s="480"/>
      <c r="B542" s="480"/>
      <c r="F542" s="517"/>
    </row>
    <row r="543">
      <c r="A543" s="480"/>
      <c r="B543" s="480"/>
      <c r="F543" s="517"/>
    </row>
    <row r="544">
      <c r="A544" s="480"/>
      <c r="B544" s="480"/>
      <c r="F544" s="517"/>
    </row>
    <row r="545">
      <c r="A545" s="480"/>
      <c r="B545" s="480"/>
      <c r="F545" s="517"/>
    </row>
    <row r="546">
      <c r="A546" s="480"/>
      <c r="B546" s="480"/>
      <c r="F546" s="517"/>
    </row>
    <row r="547">
      <c r="A547" s="480"/>
      <c r="B547" s="480"/>
      <c r="F547" s="517"/>
    </row>
    <row r="548">
      <c r="A548" s="480"/>
      <c r="B548" s="480"/>
      <c r="F548" s="517"/>
    </row>
    <row r="549">
      <c r="A549" s="480"/>
      <c r="B549" s="480"/>
      <c r="F549" s="517"/>
    </row>
    <row r="550">
      <c r="A550" s="480"/>
      <c r="B550" s="480"/>
      <c r="F550" s="517"/>
    </row>
    <row r="551">
      <c r="A551" s="480"/>
      <c r="B551" s="480"/>
      <c r="F551" s="517"/>
    </row>
    <row r="552">
      <c r="A552" s="480"/>
      <c r="B552" s="480"/>
      <c r="F552" s="517"/>
    </row>
    <row r="553">
      <c r="A553" s="480"/>
      <c r="B553" s="480"/>
      <c r="F553" s="517"/>
    </row>
    <row r="554">
      <c r="A554" s="480"/>
      <c r="B554" s="480"/>
      <c r="F554" s="517"/>
    </row>
    <row r="555">
      <c r="A555" s="480"/>
      <c r="B555" s="480"/>
      <c r="F555" s="517"/>
    </row>
    <row r="556">
      <c r="A556" s="480"/>
      <c r="B556" s="480"/>
      <c r="F556" s="517"/>
    </row>
    <row r="557">
      <c r="A557" s="480"/>
      <c r="B557" s="480"/>
      <c r="F557" s="517"/>
    </row>
    <row r="558">
      <c r="A558" s="480"/>
      <c r="B558" s="480"/>
      <c r="F558" s="517"/>
    </row>
    <row r="559">
      <c r="A559" s="480"/>
      <c r="B559" s="480"/>
      <c r="F559" s="517"/>
    </row>
    <row r="560">
      <c r="A560" s="480"/>
      <c r="B560" s="480"/>
      <c r="F560" s="517"/>
    </row>
    <row r="561">
      <c r="A561" s="480"/>
      <c r="B561" s="480"/>
      <c r="F561" s="517"/>
    </row>
    <row r="562">
      <c r="A562" s="480"/>
      <c r="B562" s="480"/>
      <c r="F562" s="517"/>
    </row>
    <row r="563">
      <c r="A563" s="480"/>
      <c r="B563" s="480"/>
      <c r="F563" s="517"/>
    </row>
    <row r="564">
      <c r="A564" s="480"/>
      <c r="B564" s="480"/>
      <c r="F564" s="517"/>
    </row>
    <row r="565">
      <c r="A565" s="480"/>
      <c r="B565" s="480"/>
      <c r="F565" s="517"/>
    </row>
    <row r="566">
      <c r="A566" s="480"/>
      <c r="B566" s="480"/>
      <c r="F566" s="517"/>
    </row>
    <row r="567">
      <c r="A567" s="480"/>
      <c r="B567" s="480"/>
      <c r="F567" s="517"/>
    </row>
    <row r="568">
      <c r="A568" s="480"/>
      <c r="B568" s="480"/>
      <c r="F568" s="517"/>
    </row>
    <row r="569">
      <c r="A569" s="480"/>
      <c r="B569" s="480"/>
      <c r="F569" s="517"/>
    </row>
    <row r="570">
      <c r="A570" s="480"/>
      <c r="B570" s="480"/>
      <c r="F570" s="517"/>
    </row>
    <row r="571">
      <c r="A571" s="480"/>
      <c r="B571" s="480"/>
      <c r="F571" s="517"/>
    </row>
    <row r="572">
      <c r="A572" s="480"/>
      <c r="B572" s="480"/>
      <c r="F572" s="517"/>
    </row>
    <row r="573">
      <c r="A573" s="480"/>
      <c r="B573" s="480"/>
      <c r="F573" s="517"/>
    </row>
    <row r="574">
      <c r="A574" s="480"/>
      <c r="B574" s="480"/>
      <c r="F574" s="517"/>
    </row>
    <row r="575">
      <c r="A575" s="480"/>
      <c r="B575" s="480"/>
      <c r="F575" s="517"/>
    </row>
    <row r="576">
      <c r="A576" s="480"/>
      <c r="B576" s="480"/>
      <c r="F576" s="517"/>
    </row>
    <row r="577">
      <c r="A577" s="480"/>
      <c r="B577" s="480"/>
      <c r="F577" s="517"/>
    </row>
    <row r="578">
      <c r="A578" s="480"/>
      <c r="B578" s="480"/>
      <c r="F578" s="517"/>
    </row>
    <row r="579">
      <c r="A579" s="480"/>
      <c r="B579" s="480"/>
      <c r="F579" s="517"/>
    </row>
    <row r="580">
      <c r="A580" s="480"/>
      <c r="B580" s="480"/>
      <c r="F580" s="517"/>
    </row>
    <row r="581">
      <c r="A581" s="480"/>
      <c r="B581" s="480"/>
      <c r="F581" s="517"/>
    </row>
    <row r="582">
      <c r="A582" s="480"/>
      <c r="B582" s="480"/>
      <c r="F582" s="517"/>
    </row>
    <row r="583">
      <c r="A583" s="480"/>
      <c r="B583" s="480"/>
      <c r="F583" s="517"/>
    </row>
    <row r="584">
      <c r="A584" s="480"/>
      <c r="B584" s="480"/>
      <c r="F584" s="517"/>
    </row>
    <row r="585">
      <c r="A585" s="480"/>
      <c r="B585" s="480"/>
      <c r="F585" s="517"/>
    </row>
    <row r="586">
      <c r="A586" s="480"/>
      <c r="B586" s="480"/>
      <c r="F586" s="517"/>
    </row>
    <row r="587">
      <c r="A587" s="480"/>
      <c r="B587" s="480"/>
      <c r="F587" s="517"/>
    </row>
    <row r="588">
      <c r="A588" s="480"/>
      <c r="B588" s="480"/>
      <c r="F588" s="517"/>
    </row>
    <row r="589">
      <c r="A589" s="480"/>
      <c r="B589" s="480"/>
      <c r="F589" s="517"/>
    </row>
    <row r="590">
      <c r="A590" s="480"/>
      <c r="B590" s="480"/>
      <c r="F590" s="517"/>
    </row>
    <row r="591">
      <c r="A591" s="480"/>
      <c r="B591" s="480"/>
      <c r="F591" s="517"/>
    </row>
    <row r="592">
      <c r="A592" s="480"/>
      <c r="B592" s="480"/>
      <c r="F592" s="517"/>
    </row>
    <row r="593">
      <c r="A593" s="480"/>
      <c r="B593" s="480"/>
      <c r="F593" s="517"/>
    </row>
    <row r="594">
      <c r="A594" s="480"/>
      <c r="B594" s="480"/>
      <c r="F594" s="517"/>
    </row>
    <row r="595">
      <c r="A595" s="480"/>
      <c r="B595" s="480"/>
      <c r="F595" s="517"/>
    </row>
    <row r="596">
      <c r="A596" s="480"/>
      <c r="B596" s="480"/>
      <c r="F596" s="517"/>
    </row>
    <row r="597">
      <c r="A597" s="480"/>
      <c r="B597" s="480"/>
      <c r="F597" s="517"/>
    </row>
    <row r="598">
      <c r="A598" s="480"/>
      <c r="B598" s="480"/>
      <c r="F598" s="517"/>
    </row>
    <row r="599">
      <c r="A599" s="480"/>
      <c r="B599" s="480"/>
      <c r="F599" s="517"/>
    </row>
    <row r="600">
      <c r="A600" s="480"/>
      <c r="B600" s="480"/>
      <c r="F600" s="517"/>
    </row>
    <row r="601">
      <c r="A601" s="480"/>
      <c r="B601" s="480"/>
      <c r="F601" s="517"/>
    </row>
    <row r="602">
      <c r="A602" s="480"/>
      <c r="B602" s="480"/>
      <c r="F602" s="517"/>
    </row>
    <row r="603">
      <c r="A603" s="480"/>
      <c r="B603" s="480"/>
      <c r="F603" s="517"/>
    </row>
    <row r="604">
      <c r="A604" s="480"/>
      <c r="B604" s="480"/>
      <c r="F604" s="517"/>
    </row>
    <row r="605">
      <c r="A605" s="480"/>
      <c r="B605" s="480"/>
      <c r="F605" s="517"/>
    </row>
    <row r="606">
      <c r="A606" s="480"/>
      <c r="B606" s="480"/>
      <c r="F606" s="517"/>
    </row>
    <row r="607">
      <c r="A607" s="480"/>
      <c r="B607" s="480"/>
      <c r="F607" s="517"/>
    </row>
    <row r="608">
      <c r="A608" s="480"/>
      <c r="B608" s="480"/>
      <c r="F608" s="517"/>
    </row>
    <row r="609">
      <c r="A609" s="480"/>
      <c r="B609" s="480"/>
      <c r="F609" s="517"/>
    </row>
    <row r="610">
      <c r="A610" s="480"/>
      <c r="B610" s="480"/>
      <c r="F610" s="517"/>
    </row>
    <row r="611">
      <c r="A611" s="480"/>
      <c r="B611" s="480"/>
      <c r="F611" s="517"/>
    </row>
    <row r="612">
      <c r="A612" s="480"/>
      <c r="B612" s="480"/>
      <c r="F612" s="517"/>
    </row>
    <row r="613">
      <c r="A613" s="480"/>
      <c r="B613" s="480"/>
      <c r="F613" s="517"/>
    </row>
    <row r="614">
      <c r="A614" s="480"/>
      <c r="B614" s="480"/>
      <c r="F614" s="517"/>
    </row>
    <row r="615">
      <c r="A615" s="480"/>
      <c r="B615" s="480"/>
      <c r="F615" s="517"/>
    </row>
    <row r="616">
      <c r="A616" s="480"/>
      <c r="B616" s="480"/>
      <c r="F616" s="517"/>
    </row>
    <row r="617">
      <c r="A617" s="480"/>
      <c r="B617" s="480"/>
      <c r="F617" s="517"/>
    </row>
    <row r="618">
      <c r="A618" s="480"/>
      <c r="B618" s="480"/>
      <c r="F618" s="517"/>
    </row>
    <row r="619">
      <c r="A619" s="480"/>
      <c r="B619" s="480"/>
      <c r="F619" s="517"/>
    </row>
    <row r="620">
      <c r="A620" s="480"/>
      <c r="B620" s="480"/>
      <c r="F620" s="517"/>
    </row>
    <row r="621">
      <c r="A621" s="480"/>
      <c r="B621" s="480"/>
      <c r="F621" s="517"/>
    </row>
    <row r="622">
      <c r="A622" s="480"/>
      <c r="B622" s="480"/>
      <c r="F622" s="517"/>
    </row>
    <row r="623">
      <c r="A623" s="480"/>
      <c r="B623" s="480"/>
      <c r="F623" s="517"/>
    </row>
    <row r="624">
      <c r="A624" s="480"/>
      <c r="B624" s="480"/>
      <c r="F624" s="517"/>
    </row>
    <row r="625">
      <c r="A625" s="480"/>
      <c r="B625" s="480"/>
      <c r="F625" s="517"/>
    </row>
    <row r="626">
      <c r="A626" s="480"/>
      <c r="B626" s="480"/>
      <c r="F626" s="517"/>
    </row>
    <row r="627">
      <c r="A627" s="480"/>
      <c r="B627" s="480"/>
      <c r="F627" s="517"/>
    </row>
    <row r="628">
      <c r="A628" s="480"/>
      <c r="B628" s="480"/>
      <c r="F628" s="517"/>
    </row>
    <row r="629">
      <c r="A629" s="480"/>
      <c r="B629" s="480"/>
      <c r="F629" s="517"/>
    </row>
    <row r="630">
      <c r="A630" s="480"/>
      <c r="B630" s="480"/>
      <c r="F630" s="517"/>
    </row>
    <row r="631">
      <c r="A631" s="480"/>
      <c r="B631" s="480"/>
      <c r="F631" s="517"/>
    </row>
    <row r="632">
      <c r="A632" s="480"/>
      <c r="B632" s="480"/>
      <c r="F632" s="517"/>
    </row>
    <row r="633">
      <c r="A633" s="480"/>
      <c r="B633" s="480"/>
      <c r="F633" s="517"/>
    </row>
    <row r="634">
      <c r="A634" s="480"/>
      <c r="B634" s="480"/>
      <c r="F634" s="517"/>
    </row>
    <row r="635">
      <c r="A635" s="480"/>
      <c r="B635" s="480"/>
      <c r="F635" s="517"/>
    </row>
    <row r="636">
      <c r="A636" s="480"/>
      <c r="B636" s="480"/>
      <c r="F636" s="517"/>
    </row>
    <row r="637">
      <c r="A637" s="480"/>
      <c r="B637" s="480"/>
      <c r="F637" s="517"/>
    </row>
    <row r="638">
      <c r="A638" s="480"/>
      <c r="B638" s="480"/>
      <c r="F638" s="517"/>
    </row>
    <row r="639">
      <c r="A639" s="480"/>
      <c r="B639" s="480"/>
      <c r="F639" s="517"/>
    </row>
    <row r="640">
      <c r="A640" s="480"/>
      <c r="B640" s="480"/>
      <c r="F640" s="517"/>
    </row>
    <row r="641">
      <c r="A641" s="480"/>
      <c r="B641" s="480"/>
      <c r="F641" s="517"/>
    </row>
    <row r="642">
      <c r="A642" s="480"/>
      <c r="B642" s="480"/>
      <c r="F642" s="517"/>
    </row>
    <row r="643">
      <c r="A643" s="480"/>
      <c r="B643" s="480"/>
      <c r="F643" s="517"/>
    </row>
    <row r="644">
      <c r="A644" s="480"/>
      <c r="B644" s="480"/>
      <c r="F644" s="517"/>
    </row>
    <row r="645">
      <c r="A645" s="480"/>
      <c r="B645" s="480"/>
      <c r="F645" s="517"/>
    </row>
    <row r="646">
      <c r="A646" s="480"/>
      <c r="B646" s="480"/>
      <c r="F646" s="517"/>
    </row>
    <row r="647">
      <c r="A647" s="480"/>
      <c r="B647" s="480"/>
      <c r="F647" s="517"/>
    </row>
    <row r="648">
      <c r="A648" s="480"/>
      <c r="B648" s="480"/>
      <c r="F648" s="517"/>
    </row>
    <row r="649">
      <c r="A649" s="480"/>
      <c r="B649" s="480"/>
      <c r="F649" s="517"/>
    </row>
    <row r="650">
      <c r="A650" s="480"/>
      <c r="B650" s="480"/>
      <c r="F650" s="517"/>
    </row>
    <row r="651">
      <c r="A651" s="480"/>
      <c r="B651" s="480"/>
      <c r="F651" s="517"/>
    </row>
    <row r="652">
      <c r="A652" s="480"/>
      <c r="B652" s="480"/>
      <c r="F652" s="517"/>
    </row>
    <row r="653">
      <c r="A653" s="480"/>
      <c r="B653" s="480"/>
      <c r="F653" s="517"/>
    </row>
    <row r="654">
      <c r="A654" s="480"/>
      <c r="B654" s="480"/>
      <c r="F654" s="517"/>
    </row>
    <row r="655">
      <c r="A655" s="480"/>
      <c r="B655" s="480"/>
      <c r="F655" s="517"/>
    </row>
    <row r="656">
      <c r="A656" s="480"/>
      <c r="B656" s="480"/>
      <c r="F656" s="517"/>
    </row>
    <row r="657">
      <c r="A657" s="480"/>
      <c r="B657" s="480"/>
      <c r="F657" s="517"/>
    </row>
    <row r="658">
      <c r="A658" s="480"/>
      <c r="B658" s="480"/>
      <c r="F658" s="517"/>
    </row>
    <row r="659">
      <c r="A659" s="480"/>
      <c r="B659" s="480"/>
      <c r="F659" s="517"/>
    </row>
    <row r="660">
      <c r="A660" s="480"/>
      <c r="B660" s="480"/>
      <c r="F660" s="517"/>
    </row>
    <row r="661">
      <c r="A661" s="480"/>
      <c r="B661" s="480"/>
      <c r="F661" s="517"/>
    </row>
    <row r="662">
      <c r="A662" s="480"/>
      <c r="B662" s="480"/>
      <c r="F662" s="517"/>
    </row>
    <row r="663">
      <c r="A663" s="480"/>
      <c r="B663" s="480"/>
      <c r="F663" s="517"/>
    </row>
    <row r="664">
      <c r="A664" s="480"/>
      <c r="B664" s="480"/>
      <c r="F664" s="517"/>
    </row>
    <row r="665">
      <c r="A665" s="480"/>
      <c r="B665" s="480"/>
      <c r="F665" s="517"/>
    </row>
    <row r="666">
      <c r="A666" s="480"/>
      <c r="B666" s="480"/>
      <c r="F666" s="517"/>
    </row>
    <row r="667">
      <c r="A667" s="480"/>
      <c r="B667" s="480"/>
      <c r="F667" s="517"/>
    </row>
    <row r="668">
      <c r="A668" s="480"/>
      <c r="B668" s="480"/>
      <c r="F668" s="517"/>
    </row>
    <row r="669">
      <c r="A669" s="480"/>
      <c r="B669" s="480"/>
      <c r="F669" s="517"/>
    </row>
    <row r="670">
      <c r="A670" s="480"/>
      <c r="B670" s="480"/>
      <c r="F670" s="517"/>
    </row>
    <row r="671">
      <c r="A671" s="480"/>
      <c r="B671" s="480"/>
      <c r="F671" s="517"/>
    </row>
    <row r="672">
      <c r="A672" s="480"/>
      <c r="B672" s="480"/>
      <c r="F672" s="517"/>
    </row>
    <row r="673">
      <c r="A673" s="480"/>
      <c r="B673" s="480"/>
      <c r="F673" s="517"/>
    </row>
    <row r="674">
      <c r="A674" s="480"/>
      <c r="B674" s="480"/>
      <c r="F674" s="517"/>
    </row>
    <row r="675">
      <c r="A675" s="480"/>
      <c r="B675" s="480"/>
      <c r="F675" s="517"/>
    </row>
    <row r="676">
      <c r="A676" s="480"/>
      <c r="B676" s="480"/>
      <c r="F676" s="517"/>
    </row>
    <row r="677">
      <c r="A677" s="480"/>
      <c r="B677" s="480"/>
      <c r="F677" s="517"/>
    </row>
    <row r="678">
      <c r="A678" s="480"/>
      <c r="B678" s="480"/>
      <c r="F678" s="517"/>
    </row>
    <row r="679">
      <c r="A679" s="480"/>
      <c r="B679" s="480"/>
      <c r="F679" s="517"/>
    </row>
    <row r="680">
      <c r="A680" s="480"/>
      <c r="B680" s="480"/>
      <c r="F680" s="517"/>
    </row>
    <row r="681">
      <c r="A681" s="480"/>
      <c r="B681" s="480"/>
      <c r="F681" s="517"/>
    </row>
    <row r="682">
      <c r="A682" s="480"/>
      <c r="B682" s="480"/>
      <c r="F682" s="517"/>
    </row>
    <row r="683">
      <c r="A683" s="480"/>
      <c r="B683" s="480"/>
      <c r="F683" s="517"/>
    </row>
    <row r="684">
      <c r="A684" s="480"/>
      <c r="B684" s="480"/>
      <c r="F684" s="517"/>
    </row>
    <row r="685">
      <c r="A685" s="480"/>
      <c r="B685" s="480"/>
      <c r="F685" s="517"/>
    </row>
    <row r="686">
      <c r="A686" s="480"/>
      <c r="B686" s="480"/>
      <c r="F686" s="517"/>
    </row>
    <row r="687">
      <c r="A687" s="480"/>
      <c r="B687" s="480"/>
      <c r="F687" s="517"/>
    </row>
    <row r="688">
      <c r="A688" s="480"/>
      <c r="B688" s="480"/>
      <c r="F688" s="517"/>
    </row>
    <row r="689">
      <c r="A689" s="480"/>
      <c r="B689" s="480"/>
      <c r="F689" s="517"/>
    </row>
    <row r="690">
      <c r="A690" s="480"/>
      <c r="B690" s="480"/>
      <c r="F690" s="517"/>
    </row>
    <row r="691">
      <c r="A691" s="480"/>
      <c r="B691" s="480"/>
      <c r="F691" s="517"/>
    </row>
    <row r="692">
      <c r="A692" s="480"/>
      <c r="B692" s="480"/>
      <c r="F692" s="517"/>
    </row>
    <row r="693">
      <c r="A693" s="480"/>
      <c r="B693" s="480"/>
      <c r="F693" s="517"/>
    </row>
    <row r="694">
      <c r="A694" s="480"/>
      <c r="B694" s="480"/>
      <c r="F694" s="517"/>
    </row>
    <row r="695">
      <c r="A695" s="480"/>
      <c r="B695" s="480"/>
      <c r="F695" s="517"/>
    </row>
    <row r="696">
      <c r="A696" s="480"/>
      <c r="B696" s="480"/>
      <c r="F696" s="517"/>
    </row>
    <row r="697">
      <c r="A697" s="480"/>
      <c r="B697" s="480"/>
      <c r="F697" s="517"/>
    </row>
    <row r="698">
      <c r="A698" s="480"/>
      <c r="B698" s="480"/>
      <c r="F698" s="517"/>
    </row>
    <row r="699">
      <c r="A699" s="480"/>
      <c r="B699" s="480"/>
      <c r="F699" s="517"/>
    </row>
    <row r="700">
      <c r="A700" s="480"/>
      <c r="B700" s="480"/>
      <c r="F700" s="517"/>
    </row>
    <row r="701">
      <c r="A701" s="480"/>
      <c r="B701" s="480"/>
      <c r="F701" s="517"/>
    </row>
    <row r="702">
      <c r="A702" s="480"/>
      <c r="B702" s="480"/>
      <c r="F702" s="517"/>
    </row>
    <row r="703">
      <c r="A703" s="480"/>
      <c r="B703" s="480"/>
      <c r="F703" s="517"/>
    </row>
    <row r="704">
      <c r="A704" s="480"/>
      <c r="B704" s="480"/>
      <c r="F704" s="517"/>
    </row>
    <row r="705">
      <c r="A705" s="480"/>
      <c r="B705" s="480"/>
      <c r="F705" s="517"/>
    </row>
    <row r="706">
      <c r="A706" s="480"/>
      <c r="B706" s="480"/>
      <c r="F706" s="517"/>
    </row>
    <row r="707">
      <c r="A707" s="480"/>
      <c r="B707" s="480"/>
      <c r="F707" s="517"/>
    </row>
    <row r="708">
      <c r="A708" s="480"/>
      <c r="B708" s="480"/>
      <c r="F708" s="517"/>
    </row>
    <row r="709">
      <c r="A709" s="480"/>
      <c r="B709" s="480"/>
      <c r="F709" s="517"/>
    </row>
    <row r="710">
      <c r="A710" s="480"/>
      <c r="B710" s="480"/>
      <c r="F710" s="517"/>
    </row>
    <row r="711">
      <c r="A711" s="480"/>
      <c r="B711" s="480"/>
      <c r="F711" s="517"/>
    </row>
    <row r="712">
      <c r="A712" s="480"/>
      <c r="B712" s="480"/>
      <c r="F712" s="517"/>
    </row>
    <row r="713">
      <c r="A713" s="480"/>
      <c r="B713" s="480"/>
      <c r="F713" s="517"/>
    </row>
    <row r="714">
      <c r="A714" s="480"/>
      <c r="B714" s="480"/>
      <c r="F714" s="517"/>
    </row>
    <row r="715">
      <c r="A715" s="480"/>
      <c r="B715" s="480"/>
      <c r="F715" s="517"/>
    </row>
    <row r="716">
      <c r="A716" s="480"/>
      <c r="B716" s="480"/>
      <c r="F716" s="517"/>
    </row>
    <row r="717">
      <c r="A717" s="480"/>
      <c r="B717" s="480"/>
      <c r="F717" s="517"/>
    </row>
    <row r="718">
      <c r="A718" s="480"/>
      <c r="B718" s="480"/>
      <c r="F718" s="517"/>
    </row>
    <row r="719">
      <c r="A719" s="480"/>
      <c r="B719" s="480"/>
      <c r="F719" s="517"/>
    </row>
    <row r="720">
      <c r="A720" s="480"/>
      <c r="B720" s="480"/>
      <c r="F720" s="517"/>
    </row>
    <row r="721">
      <c r="A721" s="480"/>
      <c r="B721" s="480"/>
      <c r="F721" s="517"/>
    </row>
    <row r="722">
      <c r="A722" s="480"/>
      <c r="B722" s="480"/>
      <c r="F722" s="517"/>
    </row>
    <row r="723">
      <c r="A723" s="480"/>
      <c r="B723" s="480"/>
      <c r="F723" s="517"/>
    </row>
    <row r="724">
      <c r="A724" s="480"/>
      <c r="B724" s="480"/>
      <c r="F724" s="517"/>
    </row>
    <row r="725">
      <c r="A725" s="480"/>
      <c r="B725" s="480"/>
      <c r="F725" s="517"/>
    </row>
    <row r="726">
      <c r="A726" s="480"/>
      <c r="B726" s="480"/>
      <c r="F726" s="517"/>
    </row>
    <row r="727">
      <c r="A727" s="480"/>
      <c r="B727" s="480"/>
      <c r="F727" s="517"/>
    </row>
    <row r="728">
      <c r="A728" s="480"/>
      <c r="B728" s="480"/>
      <c r="F728" s="517"/>
    </row>
    <row r="729">
      <c r="A729" s="480"/>
      <c r="B729" s="480"/>
      <c r="F729" s="517"/>
    </row>
    <row r="730">
      <c r="A730" s="480"/>
      <c r="B730" s="480"/>
      <c r="F730" s="517"/>
    </row>
    <row r="731">
      <c r="A731" s="480"/>
      <c r="B731" s="480"/>
      <c r="F731" s="517"/>
    </row>
    <row r="732">
      <c r="A732" s="480"/>
      <c r="B732" s="480"/>
      <c r="F732" s="517"/>
    </row>
    <row r="733">
      <c r="A733" s="480"/>
      <c r="B733" s="480"/>
      <c r="F733" s="517"/>
    </row>
    <row r="734">
      <c r="A734" s="480"/>
      <c r="B734" s="480"/>
      <c r="F734" s="517"/>
    </row>
    <row r="735">
      <c r="A735" s="480"/>
      <c r="B735" s="480"/>
      <c r="F735" s="517"/>
    </row>
    <row r="736">
      <c r="A736" s="480"/>
      <c r="B736" s="480"/>
      <c r="F736" s="517"/>
    </row>
    <row r="737">
      <c r="A737" s="480"/>
      <c r="B737" s="480"/>
      <c r="F737" s="517"/>
    </row>
    <row r="738">
      <c r="A738" s="480"/>
      <c r="B738" s="480"/>
      <c r="F738" s="517"/>
    </row>
    <row r="739">
      <c r="A739" s="480"/>
      <c r="B739" s="480"/>
      <c r="F739" s="517"/>
    </row>
    <row r="740">
      <c r="A740" s="480"/>
      <c r="B740" s="480"/>
      <c r="F740" s="517"/>
    </row>
    <row r="741">
      <c r="A741" s="480"/>
      <c r="B741" s="480"/>
      <c r="F741" s="517"/>
    </row>
    <row r="742">
      <c r="A742" s="480"/>
      <c r="B742" s="480"/>
      <c r="F742" s="517"/>
    </row>
    <row r="743">
      <c r="A743" s="480"/>
      <c r="B743" s="480"/>
      <c r="F743" s="517"/>
    </row>
    <row r="744">
      <c r="A744" s="480"/>
      <c r="B744" s="480"/>
      <c r="F744" s="517"/>
    </row>
    <row r="745">
      <c r="A745" s="480"/>
      <c r="B745" s="480"/>
      <c r="F745" s="517"/>
    </row>
    <row r="746">
      <c r="A746" s="480"/>
      <c r="B746" s="480"/>
      <c r="F746" s="517"/>
    </row>
    <row r="747">
      <c r="A747" s="480"/>
      <c r="B747" s="480"/>
      <c r="F747" s="517"/>
    </row>
    <row r="748">
      <c r="A748" s="480"/>
      <c r="B748" s="480"/>
      <c r="F748" s="517"/>
    </row>
    <row r="749">
      <c r="A749" s="480"/>
      <c r="B749" s="480"/>
      <c r="F749" s="517"/>
    </row>
    <row r="750">
      <c r="A750" s="480"/>
      <c r="B750" s="480"/>
      <c r="F750" s="517"/>
    </row>
    <row r="751">
      <c r="A751" s="480"/>
      <c r="B751" s="480"/>
      <c r="F751" s="517"/>
    </row>
    <row r="752">
      <c r="A752" s="480"/>
      <c r="B752" s="480"/>
      <c r="F752" s="517"/>
    </row>
    <row r="753">
      <c r="A753" s="480"/>
      <c r="B753" s="480"/>
      <c r="F753" s="517"/>
    </row>
    <row r="754">
      <c r="A754" s="480"/>
      <c r="B754" s="480"/>
      <c r="F754" s="517"/>
    </row>
    <row r="755">
      <c r="A755" s="480"/>
      <c r="B755" s="480"/>
      <c r="F755" s="517"/>
    </row>
    <row r="756">
      <c r="A756" s="480"/>
      <c r="B756" s="480"/>
      <c r="F756" s="517"/>
    </row>
    <row r="757">
      <c r="A757" s="480"/>
      <c r="B757" s="480"/>
      <c r="F757" s="517"/>
    </row>
    <row r="758">
      <c r="A758" s="480"/>
      <c r="B758" s="480"/>
      <c r="F758" s="517"/>
    </row>
    <row r="759">
      <c r="A759" s="480"/>
      <c r="B759" s="480"/>
      <c r="F759" s="517"/>
    </row>
    <row r="760">
      <c r="A760" s="480"/>
      <c r="B760" s="480"/>
      <c r="F760" s="517"/>
    </row>
    <row r="761">
      <c r="A761" s="480"/>
      <c r="B761" s="480"/>
      <c r="F761" s="517"/>
    </row>
    <row r="762">
      <c r="A762" s="480"/>
      <c r="B762" s="480"/>
      <c r="F762" s="517"/>
    </row>
    <row r="763">
      <c r="A763" s="480"/>
      <c r="B763" s="480"/>
      <c r="F763" s="517"/>
    </row>
    <row r="764">
      <c r="A764" s="480"/>
      <c r="B764" s="480"/>
      <c r="F764" s="517"/>
    </row>
    <row r="765">
      <c r="A765" s="480"/>
      <c r="B765" s="480"/>
      <c r="F765" s="517"/>
    </row>
    <row r="766">
      <c r="A766" s="480"/>
      <c r="B766" s="480"/>
      <c r="F766" s="517"/>
    </row>
    <row r="767">
      <c r="A767" s="480"/>
      <c r="B767" s="480"/>
      <c r="F767" s="517"/>
    </row>
    <row r="768">
      <c r="A768" s="480"/>
      <c r="B768" s="480"/>
      <c r="F768" s="517"/>
    </row>
    <row r="769">
      <c r="A769" s="480"/>
      <c r="B769" s="480"/>
      <c r="F769" s="517"/>
    </row>
    <row r="770">
      <c r="A770" s="480"/>
      <c r="B770" s="480"/>
      <c r="F770" s="517"/>
    </row>
    <row r="771">
      <c r="A771" s="480"/>
      <c r="B771" s="480"/>
      <c r="F771" s="517"/>
    </row>
    <row r="772">
      <c r="A772" s="480"/>
      <c r="B772" s="480"/>
      <c r="F772" s="517"/>
    </row>
    <row r="773">
      <c r="A773" s="480"/>
      <c r="B773" s="480"/>
      <c r="F773" s="517"/>
    </row>
    <row r="774">
      <c r="A774" s="480"/>
      <c r="B774" s="480"/>
      <c r="F774" s="517"/>
    </row>
    <row r="775">
      <c r="A775" s="480"/>
      <c r="B775" s="480"/>
      <c r="F775" s="517"/>
    </row>
    <row r="776">
      <c r="A776" s="480"/>
      <c r="B776" s="480"/>
      <c r="F776" s="517"/>
    </row>
    <row r="777">
      <c r="A777" s="480"/>
      <c r="B777" s="480"/>
      <c r="F777" s="517"/>
    </row>
    <row r="778">
      <c r="A778" s="480"/>
      <c r="B778" s="480"/>
      <c r="F778" s="517"/>
    </row>
    <row r="779">
      <c r="A779" s="480"/>
      <c r="B779" s="480"/>
      <c r="F779" s="517"/>
    </row>
    <row r="780">
      <c r="A780" s="480"/>
      <c r="B780" s="480"/>
      <c r="F780" s="517"/>
    </row>
    <row r="781">
      <c r="A781" s="480"/>
      <c r="B781" s="480"/>
      <c r="F781" s="517"/>
    </row>
    <row r="782">
      <c r="A782" s="480"/>
      <c r="B782" s="480"/>
      <c r="F782" s="517"/>
    </row>
    <row r="783">
      <c r="A783" s="480"/>
      <c r="B783" s="480"/>
      <c r="F783" s="517"/>
    </row>
    <row r="784">
      <c r="A784" s="480"/>
      <c r="B784" s="480"/>
      <c r="F784" s="517"/>
    </row>
    <row r="785">
      <c r="A785" s="480"/>
      <c r="B785" s="480"/>
      <c r="F785" s="517"/>
    </row>
    <row r="786">
      <c r="A786" s="480"/>
      <c r="B786" s="480"/>
      <c r="F786" s="517"/>
    </row>
    <row r="787">
      <c r="A787" s="480"/>
      <c r="B787" s="480"/>
      <c r="F787" s="517"/>
    </row>
    <row r="788">
      <c r="A788" s="480"/>
      <c r="B788" s="480"/>
      <c r="F788" s="517"/>
    </row>
    <row r="789">
      <c r="A789" s="480"/>
      <c r="B789" s="480"/>
      <c r="F789" s="517"/>
    </row>
    <row r="790">
      <c r="A790" s="480"/>
      <c r="B790" s="480"/>
      <c r="F790" s="517"/>
    </row>
    <row r="791">
      <c r="A791" s="480"/>
      <c r="B791" s="480"/>
      <c r="F791" s="517"/>
    </row>
    <row r="792">
      <c r="A792" s="480"/>
      <c r="B792" s="480"/>
      <c r="F792" s="517"/>
    </row>
    <row r="793">
      <c r="A793" s="480"/>
      <c r="B793" s="480"/>
      <c r="F793" s="517"/>
    </row>
    <row r="794">
      <c r="A794" s="480"/>
      <c r="B794" s="480"/>
      <c r="F794" s="517"/>
    </row>
    <row r="795">
      <c r="A795" s="480"/>
      <c r="B795" s="480"/>
      <c r="F795" s="517"/>
    </row>
    <row r="796">
      <c r="A796" s="480"/>
      <c r="B796" s="480"/>
      <c r="F796" s="517"/>
    </row>
    <row r="797">
      <c r="A797" s="480"/>
      <c r="B797" s="480"/>
      <c r="F797" s="517"/>
    </row>
    <row r="798">
      <c r="A798" s="480"/>
      <c r="B798" s="480"/>
      <c r="F798" s="517"/>
    </row>
    <row r="799">
      <c r="A799" s="480"/>
      <c r="B799" s="480"/>
      <c r="F799" s="517"/>
    </row>
    <row r="800">
      <c r="A800" s="480"/>
      <c r="B800" s="480"/>
      <c r="F800" s="517"/>
    </row>
    <row r="801">
      <c r="A801" s="480"/>
      <c r="B801" s="480"/>
      <c r="F801" s="517"/>
    </row>
    <row r="802">
      <c r="A802" s="480"/>
      <c r="B802" s="480"/>
      <c r="F802" s="517"/>
    </row>
    <row r="803">
      <c r="A803" s="480"/>
      <c r="B803" s="480"/>
      <c r="F803" s="517"/>
    </row>
    <row r="804">
      <c r="A804" s="480"/>
      <c r="B804" s="480"/>
      <c r="F804" s="517"/>
    </row>
    <row r="805">
      <c r="A805" s="480"/>
      <c r="B805" s="480"/>
      <c r="F805" s="517"/>
    </row>
    <row r="806">
      <c r="A806" s="480"/>
      <c r="B806" s="480"/>
      <c r="F806" s="517"/>
    </row>
    <row r="807">
      <c r="A807" s="480"/>
      <c r="B807" s="480"/>
      <c r="F807" s="517"/>
    </row>
    <row r="808">
      <c r="A808" s="480"/>
      <c r="B808" s="480"/>
      <c r="F808" s="517"/>
    </row>
    <row r="809">
      <c r="A809" s="480"/>
      <c r="B809" s="480"/>
      <c r="F809" s="517"/>
    </row>
    <row r="810">
      <c r="A810" s="480"/>
      <c r="B810" s="480"/>
      <c r="F810" s="517"/>
    </row>
    <row r="811">
      <c r="A811" s="480"/>
      <c r="B811" s="480"/>
      <c r="F811" s="517"/>
    </row>
    <row r="812">
      <c r="A812" s="480"/>
      <c r="B812" s="480"/>
      <c r="F812" s="517"/>
    </row>
    <row r="813">
      <c r="A813" s="480"/>
      <c r="B813" s="480"/>
      <c r="F813" s="517"/>
    </row>
    <row r="814">
      <c r="A814" s="480"/>
      <c r="B814" s="480"/>
      <c r="F814" s="517"/>
    </row>
    <row r="815">
      <c r="A815" s="480"/>
      <c r="B815" s="480"/>
      <c r="F815" s="517"/>
    </row>
    <row r="816">
      <c r="A816" s="480"/>
      <c r="B816" s="480"/>
      <c r="F816" s="517"/>
    </row>
    <row r="817">
      <c r="A817" s="480"/>
      <c r="B817" s="480"/>
      <c r="F817" s="517"/>
    </row>
    <row r="818">
      <c r="A818" s="480"/>
      <c r="B818" s="480"/>
      <c r="F818" s="517"/>
    </row>
    <row r="819">
      <c r="A819" s="480"/>
      <c r="B819" s="480"/>
      <c r="F819" s="517"/>
    </row>
    <row r="820">
      <c r="A820" s="480"/>
      <c r="B820" s="480"/>
      <c r="F820" s="517"/>
    </row>
    <row r="821">
      <c r="A821" s="480"/>
      <c r="B821" s="480"/>
      <c r="F821" s="517"/>
    </row>
    <row r="822">
      <c r="A822" s="480"/>
      <c r="B822" s="480"/>
      <c r="F822" s="517"/>
    </row>
    <row r="823">
      <c r="A823" s="480"/>
      <c r="B823" s="480"/>
      <c r="F823" s="517"/>
    </row>
    <row r="824">
      <c r="A824" s="480"/>
      <c r="B824" s="480"/>
      <c r="F824" s="517"/>
    </row>
    <row r="825">
      <c r="A825" s="480"/>
      <c r="B825" s="480"/>
      <c r="F825" s="517"/>
    </row>
    <row r="826">
      <c r="A826" s="480"/>
      <c r="B826" s="480"/>
      <c r="F826" s="517"/>
    </row>
    <row r="827">
      <c r="A827" s="480"/>
      <c r="B827" s="480"/>
      <c r="F827" s="517"/>
    </row>
    <row r="828">
      <c r="A828" s="480"/>
      <c r="B828" s="480"/>
      <c r="F828" s="517"/>
    </row>
    <row r="829">
      <c r="A829" s="480"/>
      <c r="B829" s="480"/>
      <c r="F829" s="517"/>
    </row>
    <row r="830">
      <c r="A830" s="480"/>
      <c r="B830" s="480"/>
      <c r="F830" s="517"/>
    </row>
    <row r="831">
      <c r="A831" s="480"/>
      <c r="B831" s="480"/>
      <c r="F831" s="517"/>
    </row>
    <row r="832">
      <c r="A832" s="480"/>
      <c r="B832" s="480"/>
      <c r="F832" s="517"/>
    </row>
    <row r="833">
      <c r="A833" s="480"/>
      <c r="B833" s="480"/>
      <c r="F833" s="517"/>
    </row>
    <row r="834">
      <c r="A834" s="480"/>
      <c r="B834" s="480"/>
      <c r="F834" s="517"/>
    </row>
    <row r="835">
      <c r="A835" s="480"/>
      <c r="B835" s="480"/>
      <c r="F835" s="517"/>
    </row>
    <row r="836">
      <c r="A836" s="480"/>
      <c r="B836" s="480"/>
      <c r="F836" s="517"/>
    </row>
    <row r="837">
      <c r="A837" s="480"/>
      <c r="B837" s="480"/>
      <c r="F837" s="517"/>
    </row>
    <row r="838">
      <c r="A838" s="480"/>
      <c r="B838" s="480"/>
      <c r="F838" s="517"/>
    </row>
    <row r="839">
      <c r="A839" s="480"/>
      <c r="B839" s="480"/>
      <c r="F839" s="517"/>
    </row>
    <row r="840">
      <c r="A840" s="480"/>
      <c r="B840" s="480"/>
      <c r="F840" s="517"/>
    </row>
    <row r="841">
      <c r="A841" s="480"/>
      <c r="B841" s="480"/>
      <c r="F841" s="517"/>
    </row>
    <row r="842">
      <c r="A842" s="480"/>
      <c r="B842" s="480"/>
      <c r="F842" s="517"/>
    </row>
    <row r="843">
      <c r="A843" s="480"/>
      <c r="B843" s="480"/>
      <c r="F843" s="517"/>
    </row>
    <row r="844">
      <c r="A844" s="480"/>
      <c r="B844" s="480"/>
      <c r="F844" s="517"/>
    </row>
    <row r="845">
      <c r="A845" s="480"/>
      <c r="B845" s="480"/>
      <c r="F845" s="517"/>
    </row>
    <row r="846">
      <c r="A846" s="480"/>
      <c r="B846" s="480"/>
      <c r="F846" s="517"/>
    </row>
    <row r="847">
      <c r="A847" s="480"/>
      <c r="B847" s="480"/>
      <c r="F847" s="517"/>
    </row>
    <row r="848">
      <c r="A848" s="480"/>
      <c r="B848" s="480"/>
      <c r="F848" s="517"/>
    </row>
    <row r="849">
      <c r="A849" s="480"/>
      <c r="B849" s="480"/>
      <c r="F849" s="517"/>
    </row>
    <row r="850">
      <c r="A850" s="480"/>
      <c r="B850" s="480"/>
      <c r="F850" s="517"/>
    </row>
    <row r="851">
      <c r="A851" s="480"/>
      <c r="B851" s="480"/>
      <c r="F851" s="517"/>
    </row>
    <row r="852">
      <c r="A852" s="480"/>
      <c r="B852" s="480"/>
      <c r="F852" s="517"/>
    </row>
    <row r="853">
      <c r="A853" s="480"/>
      <c r="B853" s="480"/>
      <c r="F853" s="517"/>
    </row>
    <row r="854">
      <c r="A854" s="480"/>
      <c r="B854" s="480"/>
      <c r="F854" s="517"/>
    </row>
    <row r="855">
      <c r="A855" s="480"/>
      <c r="B855" s="480"/>
      <c r="F855" s="517"/>
    </row>
    <row r="856">
      <c r="A856" s="480"/>
      <c r="B856" s="480"/>
      <c r="F856" s="517"/>
    </row>
    <row r="857">
      <c r="A857" s="480"/>
      <c r="B857" s="480"/>
      <c r="F857" s="517"/>
    </row>
    <row r="858">
      <c r="A858" s="480"/>
      <c r="B858" s="480"/>
      <c r="F858" s="517"/>
    </row>
    <row r="859">
      <c r="A859" s="480"/>
      <c r="B859" s="480"/>
      <c r="F859" s="517"/>
    </row>
    <row r="860">
      <c r="A860" s="480"/>
      <c r="B860" s="480"/>
      <c r="F860" s="517"/>
    </row>
    <row r="861">
      <c r="A861" s="480"/>
      <c r="B861" s="480"/>
      <c r="F861" s="517"/>
    </row>
    <row r="862">
      <c r="A862" s="480"/>
      <c r="B862" s="480"/>
      <c r="F862" s="517"/>
    </row>
    <row r="863">
      <c r="A863" s="480"/>
      <c r="B863" s="480"/>
      <c r="F863" s="517"/>
    </row>
    <row r="864">
      <c r="A864" s="480"/>
      <c r="B864" s="480"/>
      <c r="F864" s="517"/>
    </row>
    <row r="865">
      <c r="A865" s="480"/>
      <c r="B865" s="480"/>
      <c r="F865" s="517"/>
    </row>
    <row r="866">
      <c r="A866" s="480"/>
      <c r="B866" s="480"/>
      <c r="F866" s="517"/>
    </row>
    <row r="867">
      <c r="A867" s="480"/>
      <c r="B867" s="480"/>
      <c r="F867" s="517"/>
    </row>
    <row r="868">
      <c r="A868" s="480"/>
      <c r="B868" s="480"/>
      <c r="F868" s="517"/>
    </row>
    <row r="869">
      <c r="A869" s="480"/>
      <c r="B869" s="480"/>
      <c r="F869" s="517"/>
    </row>
    <row r="870">
      <c r="A870" s="480"/>
      <c r="B870" s="480"/>
      <c r="F870" s="517"/>
    </row>
    <row r="871">
      <c r="A871" s="480"/>
      <c r="B871" s="480"/>
      <c r="F871" s="517"/>
    </row>
    <row r="872">
      <c r="A872" s="480"/>
      <c r="B872" s="480"/>
      <c r="F872" s="517"/>
    </row>
    <row r="873">
      <c r="A873" s="480"/>
      <c r="B873" s="480"/>
      <c r="F873" s="517"/>
    </row>
    <row r="874">
      <c r="A874" s="480"/>
      <c r="B874" s="480"/>
      <c r="F874" s="517"/>
    </row>
    <row r="875">
      <c r="A875" s="480"/>
      <c r="B875" s="480"/>
      <c r="F875" s="517"/>
    </row>
    <row r="876">
      <c r="A876" s="480"/>
      <c r="B876" s="480"/>
      <c r="F876" s="517"/>
    </row>
    <row r="877">
      <c r="A877" s="480"/>
      <c r="B877" s="480"/>
      <c r="F877" s="517"/>
    </row>
    <row r="878">
      <c r="A878" s="480"/>
      <c r="B878" s="480"/>
      <c r="F878" s="517"/>
    </row>
    <row r="879">
      <c r="A879" s="480"/>
      <c r="B879" s="480"/>
      <c r="F879" s="517"/>
    </row>
    <row r="880">
      <c r="A880" s="480"/>
      <c r="B880" s="480"/>
      <c r="F880" s="517"/>
    </row>
    <row r="881">
      <c r="A881" s="480"/>
      <c r="B881" s="480"/>
      <c r="F881" s="517"/>
    </row>
    <row r="882">
      <c r="A882" s="480"/>
      <c r="B882" s="480"/>
      <c r="F882" s="517"/>
    </row>
    <row r="883">
      <c r="A883" s="480"/>
      <c r="B883" s="480"/>
      <c r="F883" s="517"/>
    </row>
    <row r="884">
      <c r="A884" s="480"/>
      <c r="B884" s="480"/>
      <c r="F884" s="517"/>
    </row>
    <row r="885">
      <c r="A885" s="480"/>
      <c r="B885" s="480"/>
      <c r="F885" s="517"/>
    </row>
    <row r="886">
      <c r="A886" s="480"/>
      <c r="B886" s="480"/>
      <c r="F886" s="517"/>
    </row>
    <row r="887">
      <c r="A887" s="480"/>
      <c r="B887" s="480"/>
      <c r="F887" s="517"/>
    </row>
    <row r="888">
      <c r="A888" s="480"/>
      <c r="B888" s="480"/>
      <c r="F888" s="517"/>
    </row>
    <row r="889">
      <c r="A889" s="480"/>
      <c r="B889" s="480"/>
      <c r="F889" s="517"/>
    </row>
    <row r="890">
      <c r="A890" s="480"/>
      <c r="B890" s="480"/>
      <c r="F890" s="517"/>
    </row>
    <row r="891">
      <c r="A891" s="480"/>
      <c r="B891" s="480"/>
      <c r="F891" s="517"/>
    </row>
    <row r="892">
      <c r="A892" s="480"/>
      <c r="B892" s="480"/>
      <c r="F892" s="517"/>
    </row>
    <row r="893">
      <c r="A893" s="480"/>
      <c r="B893" s="480"/>
      <c r="F893" s="517"/>
    </row>
    <row r="894">
      <c r="A894" s="480"/>
      <c r="B894" s="480"/>
      <c r="F894" s="517"/>
    </row>
    <row r="895">
      <c r="A895" s="480"/>
      <c r="B895" s="480"/>
      <c r="F895" s="517"/>
    </row>
    <row r="896">
      <c r="A896" s="480"/>
      <c r="B896" s="480"/>
      <c r="F896" s="517"/>
    </row>
    <row r="897">
      <c r="A897" s="480"/>
      <c r="B897" s="480"/>
      <c r="F897" s="517"/>
    </row>
    <row r="898">
      <c r="A898" s="480"/>
      <c r="B898" s="480"/>
      <c r="F898" s="517"/>
    </row>
    <row r="899">
      <c r="A899" s="480"/>
      <c r="B899" s="480"/>
      <c r="F899" s="517"/>
    </row>
    <row r="900">
      <c r="A900" s="480"/>
      <c r="B900" s="480"/>
      <c r="F900" s="517"/>
    </row>
    <row r="901">
      <c r="A901" s="480"/>
      <c r="B901" s="480"/>
      <c r="F901" s="517"/>
    </row>
    <row r="902">
      <c r="A902" s="480"/>
      <c r="B902" s="480"/>
      <c r="F902" s="517"/>
    </row>
    <row r="903">
      <c r="A903" s="480"/>
      <c r="B903" s="480"/>
      <c r="F903" s="517"/>
    </row>
    <row r="904">
      <c r="A904" s="480"/>
      <c r="B904" s="480"/>
      <c r="F904" s="517"/>
    </row>
    <row r="905">
      <c r="A905" s="480"/>
      <c r="B905" s="480"/>
      <c r="F905" s="517"/>
    </row>
    <row r="906">
      <c r="A906" s="480"/>
      <c r="B906" s="480"/>
      <c r="F906" s="517"/>
    </row>
    <row r="907">
      <c r="A907" s="480"/>
      <c r="B907" s="480"/>
      <c r="F907" s="517"/>
    </row>
    <row r="908">
      <c r="A908" s="480"/>
      <c r="B908" s="480"/>
      <c r="F908" s="517"/>
    </row>
    <row r="909">
      <c r="A909" s="480"/>
      <c r="B909" s="480"/>
      <c r="F909" s="517"/>
    </row>
    <row r="910">
      <c r="A910" s="480"/>
      <c r="B910" s="480"/>
      <c r="F910" s="517"/>
    </row>
    <row r="911">
      <c r="A911" s="480"/>
      <c r="B911" s="480"/>
      <c r="F911" s="517"/>
    </row>
    <row r="912">
      <c r="A912" s="480"/>
      <c r="B912" s="480"/>
      <c r="F912" s="517"/>
    </row>
    <row r="913">
      <c r="A913" s="480"/>
      <c r="B913" s="480"/>
      <c r="F913" s="517"/>
    </row>
    <row r="914">
      <c r="A914" s="480"/>
      <c r="B914" s="480"/>
      <c r="F914" s="517"/>
    </row>
    <row r="915">
      <c r="A915" s="480"/>
      <c r="B915" s="480"/>
      <c r="F915" s="517"/>
    </row>
    <row r="916">
      <c r="A916" s="480"/>
      <c r="B916" s="480"/>
      <c r="F916" s="517"/>
    </row>
    <row r="917">
      <c r="A917" s="480"/>
      <c r="B917" s="480"/>
      <c r="F917" s="517"/>
    </row>
    <row r="918">
      <c r="A918" s="480"/>
      <c r="B918" s="480"/>
      <c r="F918" s="517"/>
    </row>
    <row r="919">
      <c r="A919" s="480"/>
      <c r="B919" s="480"/>
      <c r="F919" s="517"/>
    </row>
    <row r="920">
      <c r="A920" s="480"/>
      <c r="B920" s="480"/>
      <c r="F920" s="517"/>
    </row>
    <row r="921">
      <c r="A921" s="480"/>
      <c r="B921" s="480"/>
      <c r="F921" s="517"/>
    </row>
    <row r="922">
      <c r="A922" s="480"/>
      <c r="B922" s="480"/>
      <c r="F922" s="517"/>
    </row>
    <row r="923">
      <c r="A923" s="480"/>
      <c r="B923" s="480"/>
      <c r="F923" s="517"/>
    </row>
    <row r="924">
      <c r="A924" s="480"/>
      <c r="B924" s="480"/>
      <c r="F924" s="517"/>
    </row>
    <row r="925">
      <c r="A925" s="480"/>
      <c r="B925" s="480"/>
      <c r="F925" s="517"/>
    </row>
    <row r="926">
      <c r="A926" s="480"/>
      <c r="B926" s="480"/>
      <c r="F926" s="517"/>
    </row>
    <row r="927">
      <c r="A927" s="480"/>
      <c r="B927" s="480"/>
      <c r="F927" s="517"/>
    </row>
    <row r="928">
      <c r="A928" s="480"/>
      <c r="B928" s="480"/>
      <c r="F928" s="517"/>
    </row>
    <row r="929">
      <c r="A929" s="480"/>
      <c r="B929" s="480"/>
      <c r="F929" s="517"/>
    </row>
    <row r="930">
      <c r="A930" s="480"/>
      <c r="B930" s="480"/>
      <c r="F930" s="517"/>
    </row>
    <row r="931">
      <c r="A931" s="480"/>
      <c r="B931" s="480"/>
      <c r="F931" s="517"/>
    </row>
    <row r="932">
      <c r="A932" s="480"/>
      <c r="B932" s="480"/>
      <c r="F932" s="517"/>
    </row>
    <row r="933">
      <c r="A933" s="480"/>
      <c r="B933" s="480"/>
      <c r="F933" s="517"/>
    </row>
    <row r="934">
      <c r="A934" s="480"/>
      <c r="B934" s="480"/>
      <c r="F934" s="517"/>
    </row>
    <row r="935">
      <c r="A935" s="480"/>
      <c r="B935" s="480"/>
      <c r="F935" s="517"/>
    </row>
    <row r="936">
      <c r="A936" s="480"/>
      <c r="B936" s="480"/>
      <c r="F936" s="517"/>
    </row>
    <row r="937">
      <c r="A937" s="480"/>
      <c r="B937" s="480"/>
      <c r="F937" s="517"/>
    </row>
    <row r="938">
      <c r="A938" s="480"/>
      <c r="B938" s="480"/>
      <c r="F938" s="517"/>
    </row>
    <row r="939">
      <c r="A939" s="480"/>
      <c r="B939" s="480"/>
      <c r="F939" s="517"/>
    </row>
    <row r="940">
      <c r="A940" s="480"/>
      <c r="B940" s="480"/>
      <c r="F940" s="517"/>
    </row>
    <row r="941">
      <c r="A941" s="480"/>
      <c r="B941" s="480"/>
      <c r="F941" s="517"/>
    </row>
    <row r="942">
      <c r="A942" s="480"/>
      <c r="B942" s="480"/>
      <c r="F942" s="517"/>
    </row>
    <row r="943">
      <c r="A943" s="480"/>
      <c r="B943" s="480"/>
      <c r="F943" s="517"/>
    </row>
    <row r="944">
      <c r="A944" s="480"/>
      <c r="B944" s="480"/>
      <c r="F944" s="517"/>
    </row>
    <row r="945">
      <c r="A945" s="480"/>
      <c r="B945" s="480"/>
      <c r="F945" s="517"/>
    </row>
    <row r="946">
      <c r="A946" s="480"/>
      <c r="B946" s="480"/>
      <c r="F946" s="517"/>
    </row>
    <row r="947">
      <c r="A947" s="480"/>
      <c r="B947" s="480"/>
      <c r="F947" s="517"/>
    </row>
    <row r="948">
      <c r="A948" s="480"/>
      <c r="B948" s="480"/>
      <c r="F948" s="517"/>
    </row>
    <row r="949">
      <c r="A949" s="480"/>
      <c r="B949" s="480"/>
      <c r="F949" s="517"/>
    </row>
    <row r="950">
      <c r="A950" s="480"/>
      <c r="B950" s="480"/>
      <c r="F950" s="517"/>
    </row>
    <row r="951">
      <c r="A951" s="480"/>
      <c r="B951" s="480"/>
      <c r="F951" s="517"/>
    </row>
    <row r="952">
      <c r="A952" s="480"/>
      <c r="B952" s="480"/>
      <c r="F952" s="517"/>
    </row>
    <row r="953">
      <c r="A953" s="480"/>
      <c r="B953" s="480"/>
      <c r="F953" s="517"/>
    </row>
    <row r="954">
      <c r="A954" s="480"/>
      <c r="B954" s="480"/>
      <c r="F954" s="517"/>
    </row>
    <row r="955">
      <c r="A955" s="480"/>
      <c r="B955" s="480"/>
      <c r="F955" s="517"/>
    </row>
    <row r="956">
      <c r="A956" s="480"/>
      <c r="B956" s="480"/>
      <c r="F956" s="517"/>
    </row>
    <row r="957">
      <c r="A957" s="480"/>
      <c r="B957" s="480"/>
      <c r="F957" s="517"/>
    </row>
    <row r="958">
      <c r="A958" s="480"/>
      <c r="B958" s="480"/>
      <c r="F958" s="517"/>
    </row>
    <row r="959">
      <c r="A959" s="480"/>
      <c r="B959" s="480"/>
      <c r="F959" s="517"/>
    </row>
    <row r="960">
      <c r="A960" s="480"/>
      <c r="B960" s="480"/>
      <c r="F960" s="517"/>
    </row>
    <row r="961">
      <c r="A961" s="480"/>
      <c r="B961" s="480"/>
      <c r="F961" s="517"/>
    </row>
    <row r="962">
      <c r="A962" s="480"/>
      <c r="B962" s="480"/>
      <c r="F962" s="517"/>
    </row>
    <row r="963">
      <c r="A963" s="480"/>
      <c r="B963" s="480"/>
      <c r="F963" s="517"/>
    </row>
    <row r="964">
      <c r="A964" s="480"/>
      <c r="B964" s="480"/>
      <c r="F964" s="517"/>
    </row>
    <row r="965">
      <c r="A965" s="480"/>
      <c r="B965" s="480"/>
      <c r="F965" s="517"/>
    </row>
    <row r="966">
      <c r="A966" s="480"/>
      <c r="B966" s="480"/>
      <c r="F966" s="517"/>
    </row>
    <row r="967">
      <c r="A967" s="480"/>
      <c r="B967" s="480"/>
      <c r="F967" s="517"/>
    </row>
    <row r="968">
      <c r="A968" s="480"/>
      <c r="B968" s="480"/>
      <c r="F968" s="517"/>
    </row>
    <row r="969">
      <c r="A969" s="480"/>
      <c r="B969" s="480"/>
      <c r="F969" s="517"/>
    </row>
    <row r="970">
      <c r="A970" s="480"/>
      <c r="B970" s="480"/>
      <c r="F970" s="517"/>
    </row>
    <row r="971">
      <c r="A971" s="480"/>
      <c r="B971" s="480"/>
      <c r="F971" s="517"/>
    </row>
    <row r="972">
      <c r="A972" s="480"/>
      <c r="B972" s="480"/>
      <c r="F972" s="517"/>
    </row>
    <row r="973">
      <c r="A973" s="480"/>
      <c r="B973" s="480"/>
      <c r="F973" s="517"/>
    </row>
    <row r="974">
      <c r="A974" s="480"/>
      <c r="B974" s="480"/>
      <c r="F974" s="517"/>
    </row>
    <row r="975">
      <c r="A975" s="480"/>
      <c r="B975" s="480"/>
      <c r="F975" s="517"/>
    </row>
    <row r="976">
      <c r="A976" s="480"/>
      <c r="B976" s="480"/>
      <c r="F976" s="517"/>
    </row>
    <row r="977">
      <c r="A977" s="480"/>
      <c r="B977" s="480"/>
      <c r="F977" s="517"/>
    </row>
    <row r="978">
      <c r="A978" s="480"/>
      <c r="B978" s="480"/>
      <c r="F978" s="517"/>
    </row>
    <row r="979">
      <c r="A979" s="480"/>
      <c r="B979" s="480"/>
      <c r="F979" s="517"/>
    </row>
    <row r="980">
      <c r="A980" s="480"/>
      <c r="B980" s="480"/>
      <c r="F980" s="517"/>
    </row>
    <row r="981">
      <c r="A981" s="480"/>
      <c r="B981" s="480"/>
      <c r="F981" s="517"/>
    </row>
    <row r="982">
      <c r="A982" s="480"/>
      <c r="B982" s="480"/>
      <c r="F982" s="517"/>
    </row>
    <row r="983">
      <c r="A983" s="480"/>
      <c r="B983" s="480"/>
      <c r="F983" s="517"/>
    </row>
    <row r="984">
      <c r="A984" s="480"/>
      <c r="B984" s="480"/>
      <c r="F984" s="517"/>
    </row>
    <row r="985">
      <c r="A985" s="480"/>
      <c r="B985" s="480"/>
      <c r="F985" s="517"/>
    </row>
    <row r="986">
      <c r="A986" s="480"/>
      <c r="B986" s="480"/>
      <c r="F986" s="517"/>
    </row>
    <row r="987">
      <c r="A987" s="480"/>
      <c r="B987" s="480"/>
      <c r="F987" s="517"/>
    </row>
    <row r="988">
      <c r="A988" s="480"/>
      <c r="B988" s="480"/>
      <c r="F988" s="517"/>
    </row>
    <row r="989">
      <c r="A989" s="480"/>
      <c r="B989" s="480"/>
      <c r="F989" s="517"/>
    </row>
    <row r="990">
      <c r="A990" s="480"/>
      <c r="B990" s="480"/>
      <c r="F990" s="517"/>
    </row>
    <row r="991">
      <c r="A991" s="480"/>
      <c r="B991" s="480"/>
      <c r="F991" s="517"/>
    </row>
    <row r="992">
      <c r="A992" s="480"/>
      <c r="B992" s="480"/>
      <c r="F992" s="517"/>
    </row>
    <row r="993">
      <c r="A993" s="480"/>
      <c r="B993" s="480"/>
      <c r="F993" s="517"/>
    </row>
    <row r="994">
      <c r="A994" s="480"/>
      <c r="B994" s="480"/>
      <c r="F994" s="517"/>
    </row>
    <row r="995">
      <c r="A995" s="480"/>
      <c r="B995" s="480"/>
      <c r="F995" s="517"/>
    </row>
    <row r="996">
      <c r="A996" s="480"/>
      <c r="B996" s="480"/>
      <c r="F996" s="517"/>
    </row>
    <row r="997">
      <c r="A997" s="480"/>
      <c r="B997" s="480"/>
      <c r="F997" s="517"/>
    </row>
    <row r="998">
      <c r="A998" s="480"/>
      <c r="B998" s="480"/>
      <c r="F998" s="517"/>
    </row>
    <row r="999">
      <c r="A999" s="480"/>
      <c r="B999" s="480"/>
      <c r="F999" s="517"/>
    </row>
    <row r="1000">
      <c r="A1000" s="480"/>
      <c r="B1000" s="480"/>
      <c r="F1000" s="517"/>
    </row>
  </sheetData>
  <mergeCells count="2">
    <mergeCell ref="B40:J40"/>
    <mergeCell ref="K40:S40"/>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44"/>
    <col customWidth="1" min="2" max="10" width="10.44"/>
    <col customWidth="1" min="11" max="11" width="13.0"/>
    <col customWidth="1" min="12" max="15" width="10.44"/>
    <col customWidth="1" min="16" max="16" width="11.44"/>
    <col customWidth="1" min="17" max="18" width="15.44"/>
    <col customWidth="1" min="19" max="19" width="10.44"/>
    <col customWidth="1" min="20" max="20" width="19.44"/>
    <col customWidth="1" min="21" max="26" width="10.44"/>
  </cols>
  <sheetData>
    <row r="1">
      <c r="A1" s="687" t="s">
        <v>503</v>
      </c>
      <c r="B1" s="18"/>
      <c r="C1" s="18"/>
      <c r="D1" s="18"/>
      <c r="E1" s="18"/>
      <c r="F1" s="18"/>
      <c r="G1" s="18"/>
      <c r="H1" s="18"/>
      <c r="I1" s="18"/>
      <c r="J1" s="18"/>
      <c r="K1" s="18"/>
      <c r="L1" s="18"/>
      <c r="M1" s="18"/>
      <c r="N1" s="18"/>
      <c r="O1" s="18"/>
    </row>
    <row r="2">
      <c r="A2" s="687" t="s">
        <v>504</v>
      </c>
      <c r="B2" s="18"/>
      <c r="C2" s="18"/>
      <c r="D2" s="18"/>
      <c r="E2" s="18"/>
      <c r="F2" s="18"/>
      <c r="G2" s="18"/>
      <c r="H2" s="18"/>
      <c r="I2" s="18"/>
      <c r="J2" s="18"/>
      <c r="K2" s="18"/>
      <c r="L2" s="18"/>
      <c r="M2" s="18"/>
      <c r="N2" s="18"/>
      <c r="O2" s="18"/>
    </row>
    <row r="3">
      <c r="A3" s="234" t="s">
        <v>505</v>
      </c>
    </row>
    <row r="4">
      <c r="A4" s="234" t="s">
        <v>506</v>
      </c>
    </row>
    <row r="5">
      <c r="A5" s="234" t="s">
        <v>507</v>
      </c>
    </row>
    <row r="6" ht="176.25" customHeight="1">
      <c r="A6" s="234" t="s">
        <v>508</v>
      </c>
    </row>
    <row r="7" ht="78.75" customHeight="1">
      <c r="A7" s="234" t="s">
        <v>509</v>
      </c>
    </row>
    <row r="8" ht="81.0" customHeight="1">
      <c r="A8" s="234" t="s">
        <v>510</v>
      </c>
    </row>
    <row r="9" ht="18.0" customHeight="1">
      <c r="A9" s="234"/>
    </row>
    <row r="10">
      <c r="A10" s="68" t="s">
        <v>511</v>
      </c>
      <c r="B10" s="180" t="s">
        <v>21</v>
      </c>
      <c r="C10" s="236"/>
      <c r="D10" s="688"/>
      <c r="E10" s="688"/>
      <c r="F10" s="689"/>
      <c r="G10" s="180" t="s">
        <v>512</v>
      </c>
      <c r="H10" s="236"/>
      <c r="I10" s="236"/>
      <c r="J10" s="236"/>
      <c r="K10" s="258"/>
      <c r="L10" s="180" t="s">
        <v>22</v>
      </c>
      <c r="M10" s="21"/>
      <c r="N10" s="320" t="s">
        <v>21</v>
      </c>
    </row>
    <row r="11">
      <c r="A11" s="68"/>
      <c r="B11" s="690" t="s">
        <v>500</v>
      </c>
      <c r="C11" s="691" t="s">
        <v>513</v>
      </c>
      <c r="D11" s="692" t="s">
        <v>24</v>
      </c>
      <c r="E11" s="692" t="s">
        <v>25</v>
      </c>
      <c r="F11" s="693" t="s">
        <v>26</v>
      </c>
      <c r="G11" s="690" t="s">
        <v>500</v>
      </c>
      <c r="H11" s="691" t="s">
        <v>513</v>
      </c>
      <c r="I11" s="692" t="s">
        <v>24</v>
      </c>
      <c r="J11" s="692" t="s">
        <v>25</v>
      </c>
      <c r="K11" s="693" t="s">
        <v>26</v>
      </c>
      <c r="L11" s="690" t="s">
        <v>500</v>
      </c>
      <c r="M11" s="694" t="s">
        <v>513</v>
      </c>
      <c r="N11" s="695" t="s">
        <v>514</v>
      </c>
    </row>
    <row r="12">
      <c r="A12" s="241" t="s">
        <v>515</v>
      </c>
      <c r="B12" s="696">
        <v>224576.95</v>
      </c>
      <c r="C12" s="509">
        <v>53.0</v>
      </c>
      <c r="D12" s="697">
        <v>83.0</v>
      </c>
      <c r="E12" s="697">
        <v>95.2</v>
      </c>
      <c r="F12" s="698">
        <v>105.8</v>
      </c>
      <c r="G12" s="696">
        <v>18483.32</v>
      </c>
      <c r="H12" s="509">
        <v>47.9</v>
      </c>
      <c r="I12" s="697">
        <v>70.3</v>
      </c>
      <c r="J12" s="697">
        <v>79.6</v>
      </c>
      <c r="K12" s="698">
        <v>89.9</v>
      </c>
      <c r="L12" s="696">
        <v>21989.49</v>
      </c>
      <c r="M12" s="699">
        <v>66.0</v>
      </c>
      <c r="N12" s="700">
        <v>0.28</v>
      </c>
    </row>
    <row r="13">
      <c r="A13" s="241" t="s">
        <v>516</v>
      </c>
      <c r="B13" s="696">
        <v>754335.33</v>
      </c>
      <c r="C13" s="509">
        <v>50.0</v>
      </c>
      <c r="D13" s="697">
        <v>22.5</v>
      </c>
      <c r="E13" s="697">
        <v>27.7</v>
      </c>
      <c r="F13" s="698">
        <v>31.3</v>
      </c>
      <c r="G13" s="696">
        <v>72639.43</v>
      </c>
      <c r="H13" s="509">
        <v>51.1</v>
      </c>
      <c r="I13" s="697">
        <v>21.6</v>
      </c>
      <c r="J13" s="697">
        <v>23.8</v>
      </c>
      <c r="K13" s="698">
        <v>25.6</v>
      </c>
      <c r="L13" s="696">
        <v>35926.21</v>
      </c>
      <c r="M13" s="699">
        <v>89.0</v>
      </c>
      <c r="N13" s="700">
        <v>0.11</v>
      </c>
    </row>
    <row r="14">
      <c r="A14" s="241" t="s">
        <v>517</v>
      </c>
      <c r="B14" s="696">
        <v>3768232.53</v>
      </c>
      <c r="C14" s="509">
        <v>52.51</v>
      </c>
      <c r="D14" s="697">
        <v>10.0</v>
      </c>
      <c r="E14" s="697">
        <v>13.1</v>
      </c>
      <c r="F14" s="698">
        <v>14.7</v>
      </c>
      <c r="G14" s="696">
        <v>171863.06</v>
      </c>
      <c r="H14" s="509">
        <v>43.6</v>
      </c>
      <c r="I14" s="697">
        <v>9.4</v>
      </c>
      <c r="J14" s="697">
        <v>10.9</v>
      </c>
      <c r="K14" s="698">
        <v>12.1</v>
      </c>
      <c r="L14" s="696">
        <v>175835.07</v>
      </c>
      <c r="M14" s="699">
        <v>94.0</v>
      </c>
      <c r="N14" s="701">
        <v>0.058</v>
      </c>
    </row>
    <row r="15">
      <c r="A15" s="519" t="s">
        <v>518</v>
      </c>
      <c r="B15" s="696">
        <v>3164104.44</v>
      </c>
      <c r="C15" s="509">
        <v>51.8</v>
      </c>
      <c r="D15" s="697">
        <v>6.8</v>
      </c>
      <c r="E15" s="697">
        <v>8.0</v>
      </c>
      <c r="F15" s="698">
        <v>9.0</v>
      </c>
      <c r="G15" s="696">
        <v>182021.82</v>
      </c>
      <c r="H15" s="509">
        <v>51.8</v>
      </c>
      <c r="I15" s="697">
        <v>6.2</v>
      </c>
      <c r="J15" s="697">
        <v>6.9</v>
      </c>
      <c r="K15" s="698">
        <v>7.8</v>
      </c>
      <c r="L15" s="696">
        <v>151126.68</v>
      </c>
      <c r="M15" s="699">
        <v>80.4</v>
      </c>
      <c r="N15" s="701">
        <v>0.038</v>
      </c>
    </row>
    <row r="16">
      <c r="A16" s="519" t="s">
        <v>519</v>
      </c>
      <c r="B16" s="696">
        <v>2762323.83</v>
      </c>
      <c r="C16" s="509">
        <v>49.8</v>
      </c>
      <c r="D16" s="697">
        <v>2.9</v>
      </c>
      <c r="E16" s="697">
        <v>3.3</v>
      </c>
      <c r="F16" s="698">
        <v>3.7</v>
      </c>
      <c r="G16" s="696">
        <v>151166.45</v>
      </c>
      <c r="H16" s="509">
        <v>48.6</v>
      </c>
      <c r="I16" s="697">
        <v>2.6</v>
      </c>
      <c r="J16" s="697">
        <v>2.9</v>
      </c>
      <c r="K16" s="698">
        <v>3.3</v>
      </c>
      <c r="L16" s="696">
        <v>112846.89</v>
      </c>
      <c r="M16" s="699">
        <v>89.3</v>
      </c>
      <c r="N16" s="701">
        <v>0.016</v>
      </c>
    </row>
    <row r="17">
      <c r="A17" s="519" t="s">
        <v>520</v>
      </c>
      <c r="B17" s="696">
        <v>2665424.05</v>
      </c>
      <c r="C17" s="509">
        <v>50.7</v>
      </c>
      <c r="D17" s="697">
        <v>1.3</v>
      </c>
      <c r="E17" s="697">
        <v>1.4</v>
      </c>
      <c r="F17" s="698">
        <v>1.6</v>
      </c>
      <c r="G17" s="696">
        <v>144042.72</v>
      </c>
      <c r="H17" s="509">
        <v>45.3</v>
      </c>
      <c r="I17" s="697">
        <v>1.1</v>
      </c>
      <c r="J17" s="697">
        <v>1.2</v>
      </c>
      <c r="K17" s="698">
        <v>1.4</v>
      </c>
      <c r="L17" s="696">
        <v>89915.77</v>
      </c>
      <c r="M17" s="699">
        <v>86.6</v>
      </c>
      <c r="N17" s="701">
        <v>0.007</v>
      </c>
    </row>
    <row r="18">
      <c r="A18" s="241" t="s">
        <v>521</v>
      </c>
      <c r="B18" s="702">
        <v>2474442.88</v>
      </c>
      <c r="C18" s="703">
        <v>51.6</v>
      </c>
      <c r="D18" s="704"/>
      <c r="E18" s="704"/>
      <c r="F18" s="705"/>
      <c r="G18" s="702">
        <v>125777.2</v>
      </c>
      <c r="H18" s="703">
        <v>52.7</v>
      </c>
      <c r="I18" s="704"/>
      <c r="J18" s="704"/>
      <c r="K18" s="705"/>
      <c r="L18" s="702">
        <v>106033.9</v>
      </c>
      <c r="M18" s="706">
        <v>79.8</v>
      </c>
      <c r="N18" s="705"/>
    </row>
    <row r="19" ht="54.0" customHeight="1">
      <c r="A19" s="234" t="s">
        <v>522</v>
      </c>
    </row>
    <row r="20">
      <c r="A20" s="68" t="s">
        <v>523</v>
      </c>
      <c r="B20" s="454" t="s">
        <v>21</v>
      </c>
      <c r="C20" s="268" t="s">
        <v>22</v>
      </c>
      <c r="D20" s="269" t="s">
        <v>512</v>
      </c>
    </row>
    <row r="21">
      <c r="A21" s="241" t="s">
        <v>513</v>
      </c>
      <c r="B21" s="707">
        <v>54.4</v>
      </c>
      <c r="C21" s="703">
        <v>87.9</v>
      </c>
      <c r="D21" s="706">
        <v>50.6</v>
      </c>
    </row>
    <row r="22">
      <c r="A22" s="234"/>
    </row>
    <row r="23">
      <c r="A23" s="234"/>
    </row>
    <row r="24" ht="33.75" customHeight="1">
      <c r="A24" s="68" t="s">
        <v>524</v>
      </c>
      <c r="B24" s="180" t="s">
        <v>21</v>
      </c>
      <c r="C24" s="236"/>
      <c r="D24" s="236"/>
      <c r="E24" s="708" t="s">
        <v>525</v>
      </c>
      <c r="F24" s="180" t="s">
        <v>22</v>
      </c>
      <c r="G24" s="236"/>
      <c r="H24" s="236"/>
      <c r="I24" s="708" t="s">
        <v>525</v>
      </c>
      <c r="J24" s="180" t="s">
        <v>23</v>
      </c>
      <c r="K24" s="236"/>
      <c r="L24" s="236"/>
      <c r="M24" s="708" t="s">
        <v>525</v>
      </c>
      <c r="N24" s="709" t="s">
        <v>526</v>
      </c>
      <c r="P24" s="151"/>
      <c r="Q24" s="151" t="s">
        <v>527</v>
      </c>
      <c r="R24" s="151"/>
      <c r="S24" s="151"/>
    </row>
    <row r="25" ht="15.75" customHeight="1">
      <c r="A25" s="68"/>
      <c r="B25" s="710" t="s">
        <v>24</v>
      </c>
      <c r="C25" s="238" t="s">
        <v>25</v>
      </c>
      <c r="D25" s="238" t="s">
        <v>26</v>
      </c>
      <c r="E25" s="711"/>
      <c r="F25" s="710" t="s">
        <v>24</v>
      </c>
      <c r="G25" s="238" t="s">
        <v>25</v>
      </c>
      <c r="H25" s="238" t="s">
        <v>26</v>
      </c>
      <c r="I25" s="711"/>
      <c r="J25" s="710" t="s">
        <v>24</v>
      </c>
      <c r="K25" s="238" t="s">
        <v>25</v>
      </c>
      <c r="L25" s="238" t="s">
        <v>26</v>
      </c>
      <c r="M25" s="711"/>
      <c r="N25" s="280"/>
      <c r="P25" s="151"/>
      <c r="Q25" s="151" t="s">
        <v>21</v>
      </c>
      <c r="R25" s="151" t="s">
        <v>22</v>
      </c>
      <c r="S25" s="151" t="s">
        <v>23</v>
      </c>
    </row>
    <row r="26">
      <c r="A26" s="241" t="str">
        <f t="shared" ref="A26:A31" si="4">A12</f>
        <v>None to 300mm</v>
      </c>
      <c r="B26" s="85">
        <f t="shared" ref="B26:D26" si="1">$B$21*D12</f>
        <v>4515.2</v>
      </c>
      <c r="C26" s="86">
        <f t="shared" si="1"/>
        <v>5178.88</v>
      </c>
      <c r="D26" s="86">
        <f t="shared" si="1"/>
        <v>5755.52</v>
      </c>
      <c r="E26" s="673">
        <f>B12/numGasHeatingEngland*propHomesGasHeating</f>
        <v>0.009285293661</v>
      </c>
      <c r="F26" s="85">
        <f t="shared" ref="F26:H26" si="2">$C$21*D12</f>
        <v>7295.7</v>
      </c>
      <c r="G26" s="86">
        <f t="shared" si="2"/>
        <v>8368.08</v>
      </c>
      <c r="H26" s="86">
        <f t="shared" si="2"/>
        <v>9299.82</v>
      </c>
      <c r="I26" s="673">
        <f>L12/numOilHeatingEngland*propHomesOilHeating</f>
        <v>0.001673107084</v>
      </c>
      <c r="J26" s="85">
        <f t="shared" ref="J26:L26" si="3">$D$21*I12</f>
        <v>3557.18</v>
      </c>
      <c r="K26" s="86">
        <f t="shared" si="3"/>
        <v>4027.76</v>
      </c>
      <c r="L26" s="86">
        <f t="shared" si="3"/>
        <v>4548.94</v>
      </c>
      <c r="M26" s="673">
        <f>G12/(numStorageHeatersEngland+numOtherElectricHeatersEngland)*(propHomesStorageHeaters+propHomesOtherElectricHeaters)</f>
        <v>0.0008096311121</v>
      </c>
      <c r="N26" s="88">
        <f t="shared" ref="N26:N31" si="8">E26+I26+M26</f>
        <v>0.01176803186</v>
      </c>
      <c r="P26" s="151" t="s">
        <v>528</v>
      </c>
      <c r="Q26" s="712">
        <f t="shared" ref="Q26:Q32" si="9">B12/SUM(B$12:B$18)</f>
        <v>0.01420165061</v>
      </c>
      <c r="R26" s="712">
        <f t="shared" ref="R26:R32" si="10">L12/SUM(L$12:L$18)</f>
        <v>0.03170003443</v>
      </c>
      <c r="S26" s="712">
        <f t="shared" ref="S26:S32" si="11">G12/SUM(G$12:G$18)</f>
        <v>0.02134347351</v>
      </c>
    </row>
    <row r="27">
      <c r="A27" s="241" t="str">
        <f t="shared" si="4"/>
        <v>0- 50, to 300mm</v>
      </c>
      <c r="B27" s="85">
        <f t="shared" ref="B27:D27" si="5">$B$21*D13</f>
        <v>1224</v>
      </c>
      <c r="C27" s="86">
        <f t="shared" si="5"/>
        <v>1506.88</v>
      </c>
      <c r="D27" s="86">
        <f t="shared" si="5"/>
        <v>1702.72</v>
      </c>
      <c r="E27" s="673">
        <f>B13/numGasHeatingEngland*propHomesGasHeating</f>
        <v>0.03118853051</v>
      </c>
      <c r="F27" s="85">
        <f t="shared" ref="F27:H27" si="6">$C$21*D13</f>
        <v>1977.75</v>
      </c>
      <c r="G27" s="86">
        <f t="shared" si="6"/>
        <v>2434.83</v>
      </c>
      <c r="H27" s="86">
        <f t="shared" si="6"/>
        <v>2751.27</v>
      </c>
      <c r="I27" s="673">
        <f>L13/numOilHeatingEngland*propHomesOilHeating</f>
        <v>0.002733505709</v>
      </c>
      <c r="J27" s="85">
        <f t="shared" ref="J27:L27" si="7">$D$21*I13</f>
        <v>1092.96</v>
      </c>
      <c r="K27" s="86">
        <f t="shared" si="7"/>
        <v>1204.28</v>
      </c>
      <c r="L27" s="86">
        <f t="shared" si="7"/>
        <v>1295.36</v>
      </c>
      <c r="M27" s="673">
        <f>G13/(numStorageHeatersEngland+numOtherElectricHeatersEngland)*(propHomesStorageHeaters+propHomesOtherElectricHeaters)</f>
        <v>0.0031818495</v>
      </c>
      <c r="N27" s="88">
        <f t="shared" si="8"/>
        <v>0.03710388572</v>
      </c>
      <c r="P27" s="151" t="s">
        <v>529</v>
      </c>
      <c r="Q27" s="712">
        <f t="shared" si="9"/>
        <v>0.04770216534</v>
      </c>
      <c r="R27" s="712">
        <f t="shared" si="10"/>
        <v>0.05179120088</v>
      </c>
      <c r="S27" s="712">
        <f t="shared" si="11"/>
        <v>0.08387983058</v>
      </c>
    </row>
    <row r="28">
      <c r="A28" s="241" t="str">
        <f t="shared" si="4"/>
        <v>50-100 to 300mm</v>
      </c>
      <c r="B28" s="85">
        <f t="shared" ref="B28:D28" si="12">$B$21*D14</f>
        <v>544</v>
      </c>
      <c r="C28" s="86">
        <f t="shared" si="12"/>
        <v>712.64</v>
      </c>
      <c r="D28" s="86">
        <f t="shared" si="12"/>
        <v>799.68</v>
      </c>
      <c r="E28" s="673">
        <f>B14/numGasHeatingEngland*propHomesGasHeating</f>
        <v>0.155800253</v>
      </c>
      <c r="F28" s="85">
        <f t="shared" ref="F28:H28" si="13">$C$21*D14</f>
        <v>879</v>
      </c>
      <c r="G28" s="86">
        <f t="shared" si="13"/>
        <v>1151.49</v>
      </c>
      <c r="H28" s="86">
        <f t="shared" si="13"/>
        <v>1292.13</v>
      </c>
      <c r="I28" s="673">
        <f>L14/numOilHeatingEngland*propHomesOilHeating</f>
        <v>0.01337870506</v>
      </c>
      <c r="J28" s="85">
        <f t="shared" ref="J28:L28" si="14">$D$21*I14</f>
        <v>475.64</v>
      </c>
      <c r="K28" s="86">
        <f t="shared" si="14"/>
        <v>551.54</v>
      </c>
      <c r="L28" s="86">
        <f t="shared" si="14"/>
        <v>612.26</v>
      </c>
      <c r="M28" s="673">
        <f>G14/(numStorageHeatersEngland+numOtherElectricHeatersEngland)*(propHomesStorageHeaters+propHomesOtherElectricHeaters)</f>
        <v>0.007528175696</v>
      </c>
      <c r="N28" s="88">
        <f t="shared" si="8"/>
        <v>0.1767071337</v>
      </c>
      <c r="P28" s="151" t="s">
        <v>530</v>
      </c>
      <c r="Q28" s="712">
        <f t="shared" si="9"/>
        <v>0.2382930297</v>
      </c>
      <c r="R28" s="712">
        <f t="shared" si="10"/>
        <v>0.2534837221</v>
      </c>
      <c r="S28" s="712">
        <f t="shared" si="11"/>
        <v>0.1984575644</v>
      </c>
    </row>
    <row r="29">
      <c r="A29" s="241" t="str">
        <f t="shared" si="4"/>
        <v>100-150 to 300mm</v>
      </c>
      <c r="B29" s="85">
        <f t="shared" ref="B29:D29" si="15">$B$21*D15</f>
        <v>369.92</v>
      </c>
      <c r="C29" s="86">
        <f t="shared" si="15"/>
        <v>435.2</v>
      </c>
      <c r="D29" s="86">
        <f t="shared" si="15"/>
        <v>489.6</v>
      </c>
      <c r="E29" s="673">
        <f>B15/numGasHeatingEngland*propHomesGasHeating</f>
        <v>0.1308221476</v>
      </c>
      <c r="F29" s="85">
        <f t="shared" ref="F29:H29" si="16">$C$21*D15</f>
        <v>597.72</v>
      </c>
      <c r="G29" s="86">
        <f t="shared" si="16"/>
        <v>703.2</v>
      </c>
      <c r="H29" s="86">
        <f t="shared" si="16"/>
        <v>791.1</v>
      </c>
      <c r="I29" s="673">
        <f>L15/numOilHeatingEngland*propHomesOilHeating</f>
        <v>0.01149872593</v>
      </c>
      <c r="J29" s="85">
        <f t="shared" ref="J29:L29" si="17">$D$21*I15</f>
        <v>313.72</v>
      </c>
      <c r="K29" s="86">
        <f t="shared" si="17"/>
        <v>349.14</v>
      </c>
      <c r="L29" s="86">
        <f t="shared" si="17"/>
        <v>394.68</v>
      </c>
      <c r="M29" s="673">
        <f>G15/(numStorageHeatersEngland+numOtherElectricHeatersEngland)*(propHomesStorageHeaters+propHomesOtherElectricHeaters)</f>
        <v>0.007973163293</v>
      </c>
      <c r="N29" s="88">
        <f t="shared" si="8"/>
        <v>0.1502940368</v>
      </c>
      <c r="P29" s="151" t="s">
        <v>531</v>
      </c>
      <c r="Q29" s="712">
        <f t="shared" si="9"/>
        <v>0.2000895718</v>
      </c>
      <c r="R29" s="712">
        <f t="shared" si="10"/>
        <v>0.2178641232</v>
      </c>
      <c r="S29" s="712">
        <f t="shared" si="11"/>
        <v>0.2101883154</v>
      </c>
    </row>
    <row r="30">
      <c r="A30" s="241" t="str">
        <f t="shared" si="4"/>
        <v>150-200 to 300mm</v>
      </c>
      <c r="B30" s="85">
        <f t="shared" ref="B30:D30" si="18">$B$21*D16</f>
        <v>157.76</v>
      </c>
      <c r="C30" s="86">
        <f t="shared" si="18"/>
        <v>179.52</v>
      </c>
      <c r="D30" s="86">
        <f t="shared" si="18"/>
        <v>201.28</v>
      </c>
      <c r="E30" s="673">
        <f>B16/numGasHeatingEngland*propHomesGasHeating</f>
        <v>0.1142102426</v>
      </c>
      <c r="F30" s="85">
        <f t="shared" ref="F30:H30" si="19">$C$21*D16</f>
        <v>254.91</v>
      </c>
      <c r="G30" s="86">
        <f t="shared" si="19"/>
        <v>290.07</v>
      </c>
      <c r="H30" s="86">
        <f t="shared" si="19"/>
        <v>325.23</v>
      </c>
      <c r="I30" s="673">
        <f>L16/numOilHeatingEngland*propHomesOilHeating</f>
        <v>0.008586144157</v>
      </c>
      <c r="J30" s="85">
        <f t="shared" ref="J30:L30" si="20">$D$21*I16</f>
        <v>131.56</v>
      </c>
      <c r="K30" s="86">
        <f t="shared" si="20"/>
        <v>146.74</v>
      </c>
      <c r="L30" s="86">
        <f t="shared" si="20"/>
        <v>166.98</v>
      </c>
      <c r="M30" s="673">
        <f>G16/(numStorageHeatersEngland+numOtherElectricHeatersEngland)*(propHomesStorageHeaters+propHomesOtherElectricHeaters)</f>
        <v>0.006621595094</v>
      </c>
      <c r="N30" s="88">
        <f t="shared" si="8"/>
        <v>0.1294179819</v>
      </c>
      <c r="P30" s="151" t="s">
        <v>532</v>
      </c>
      <c r="Q30" s="712">
        <f t="shared" si="9"/>
        <v>0.1746820318</v>
      </c>
      <c r="R30" s="712">
        <f t="shared" si="10"/>
        <v>0.162680003</v>
      </c>
      <c r="S30" s="712">
        <f t="shared" si="11"/>
        <v>0.174558311</v>
      </c>
    </row>
    <row r="31">
      <c r="A31" s="241" t="str">
        <f t="shared" si="4"/>
        <v>200-250 to 300mm</v>
      </c>
      <c r="B31" s="116">
        <f t="shared" ref="B31:D31" si="21">$B$21*D17</f>
        <v>70.72</v>
      </c>
      <c r="C31" s="117">
        <f t="shared" si="21"/>
        <v>76.16</v>
      </c>
      <c r="D31" s="117">
        <f t="shared" si="21"/>
        <v>87.04</v>
      </c>
      <c r="E31" s="713">
        <f>B17/numGasHeatingEngland*propHomesGasHeating</f>
        <v>0.1102038523</v>
      </c>
      <c r="F31" s="116">
        <f t="shared" ref="F31:H31" si="22">$C$21*D17</f>
        <v>114.27</v>
      </c>
      <c r="G31" s="117">
        <f t="shared" si="22"/>
        <v>123.06</v>
      </c>
      <c r="H31" s="117">
        <f t="shared" si="22"/>
        <v>140.64</v>
      </c>
      <c r="I31" s="713">
        <f>L17/numOilHeatingEngland*propHomesOilHeating</f>
        <v>0.006841391581</v>
      </c>
      <c r="J31" s="116">
        <f t="shared" ref="J31:L31" si="23">$D$21*I17</f>
        <v>55.66</v>
      </c>
      <c r="K31" s="117">
        <f t="shared" si="23"/>
        <v>60.72</v>
      </c>
      <c r="L31" s="117">
        <f t="shared" si="23"/>
        <v>70.84</v>
      </c>
      <c r="M31" s="713">
        <f>G17/(numStorageHeatersEngland+numOtherElectricHeatersEngland)*(propHomesStorageHeaters+propHomesOtherElectricHeaters)</f>
        <v>0.006309551941</v>
      </c>
      <c r="N31" s="714">
        <f t="shared" si="8"/>
        <v>0.1233547959</v>
      </c>
      <c r="P31" s="151" t="s">
        <v>533</v>
      </c>
      <c r="Q31" s="712">
        <f t="shared" si="9"/>
        <v>0.1685543467</v>
      </c>
      <c r="R31" s="712">
        <f t="shared" si="10"/>
        <v>0.1296225153</v>
      </c>
      <c r="S31" s="712">
        <f t="shared" si="11"/>
        <v>0.1663322379</v>
      </c>
    </row>
    <row r="32">
      <c r="A32" s="234"/>
      <c r="B32" s="715"/>
      <c r="N32" s="273"/>
      <c r="P32" s="151" t="s">
        <v>534</v>
      </c>
      <c r="Q32" s="712">
        <f t="shared" si="9"/>
        <v>0.1564772041</v>
      </c>
      <c r="R32" s="712">
        <f t="shared" si="10"/>
        <v>0.152858401</v>
      </c>
      <c r="S32" s="712">
        <f t="shared" si="11"/>
        <v>0.1452402673</v>
      </c>
    </row>
    <row r="33">
      <c r="A33" s="68" t="s">
        <v>535</v>
      </c>
      <c r="B33" s="454" t="s">
        <v>24</v>
      </c>
      <c r="C33" s="268" t="s">
        <v>25</v>
      </c>
      <c r="D33" s="269" t="s">
        <v>26</v>
      </c>
      <c r="P33" s="151"/>
      <c r="Q33" s="712"/>
      <c r="R33" s="712"/>
      <c r="S33" s="712"/>
    </row>
    <row r="34">
      <c r="A34" s="241"/>
      <c r="B34" s="716">
        <v>0.1</v>
      </c>
      <c r="C34" s="717">
        <v>0.05</v>
      </c>
      <c r="D34" s="718">
        <v>0.01</v>
      </c>
      <c r="E34" s="217" t="s">
        <v>124</v>
      </c>
      <c r="P34" s="151"/>
      <c r="Q34" s="712"/>
      <c r="R34" s="712"/>
      <c r="S34" s="712"/>
    </row>
    <row r="35">
      <c r="A35" s="234"/>
      <c r="B35" s="715"/>
      <c r="P35" s="151"/>
      <c r="Q35" s="712"/>
      <c r="R35" s="712"/>
      <c r="S35" s="712"/>
    </row>
    <row r="36">
      <c r="A36" s="234"/>
      <c r="B36" s="715"/>
      <c r="P36" s="151"/>
      <c r="Q36" s="712"/>
      <c r="R36" s="712"/>
      <c r="S36" s="712"/>
    </row>
    <row r="37">
      <c r="A37" s="518" t="s">
        <v>536</v>
      </c>
      <c r="B37" s="180" t="s">
        <v>21</v>
      </c>
      <c r="C37" s="236"/>
      <c r="D37" s="258"/>
      <c r="E37" s="180" t="s">
        <v>22</v>
      </c>
      <c r="F37" s="236"/>
      <c r="G37" s="258"/>
      <c r="H37" s="236" t="s">
        <v>23</v>
      </c>
      <c r="I37" s="236"/>
      <c r="J37" s="258"/>
      <c r="P37" s="151"/>
      <c r="Q37" s="712"/>
      <c r="R37" s="712"/>
      <c r="S37" s="712"/>
    </row>
    <row r="38">
      <c r="A38" s="719"/>
      <c r="B38" s="710" t="s">
        <v>24</v>
      </c>
      <c r="C38" s="238" t="s">
        <v>25</v>
      </c>
      <c r="D38" s="239" t="s">
        <v>26</v>
      </c>
      <c r="E38" s="710" t="s">
        <v>24</v>
      </c>
      <c r="F38" s="238" t="s">
        <v>25</v>
      </c>
      <c r="G38" s="239" t="s">
        <v>26</v>
      </c>
      <c r="H38" s="238" t="s">
        <v>24</v>
      </c>
      <c r="I38" s="238" t="s">
        <v>25</v>
      </c>
      <c r="J38" s="239" t="s">
        <v>26</v>
      </c>
      <c r="P38" s="151"/>
      <c r="Q38" s="712"/>
      <c r="R38" s="712"/>
      <c r="S38" s="712"/>
    </row>
    <row r="39">
      <c r="A39" s="519" t="str">
        <f t="shared" ref="A39:A44" si="27">A26</f>
        <v>None to 300mm</v>
      </c>
      <c r="B39" s="720">
        <f t="shared" ref="B39:D39" si="24">$E26*(1-B$34)</f>
        <v>0.008356764295</v>
      </c>
      <c r="C39" s="388">
        <f t="shared" si="24"/>
        <v>0.008821028978</v>
      </c>
      <c r="D39" s="721">
        <f t="shared" si="24"/>
        <v>0.009192440724</v>
      </c>
      <c r="E39" s="720">
        <f t="shared" ref="E39:G39" si="25">$I26*(1-B$34)</f>
        <v>0.001505796376</v>
      </c>
      <c r="F39" s="388">
        <f t="shared" si="25"/>
        <v>0.00158945173</v>
      </c>
      <c r="G39" s="721">
        <f t="shared" si="25"/>
        <v>0.001656376013</v>
      </c>
      <c r="H39" s="388">
        <f t="shared" ref="H39:J39" si="26">$M26*(1-B$34)</f>
        <v>0.0007286680009</v>
      </c>
      <c r="I39" s="388">
        <f t="shared" si="26"/>
        <v>0.0007691495565</v>
      </c>
      <c r="J39" s="721">
        <f t="shared" si="26"/>
        <v>0.000801534801</v>
      </c>
      <c r="P39" s="151"/>
      <c r="Q39" s="712"/>
      <c r="R39" s="712"/>
      <c r="S39" s="712"/>
    </row>
    <row r="40">
      <c r="A40" s="519" t="str">
        <f t="shared" si="27"/>
        <v>0- 50, to 300mm</v>
      </c>
      <c r="B40" s="720">
        <f t="shared" ref="B40:D40" si="28">$E27*(1-B$34)</f>
        <v>0.02806967746</v>
      </c>
      <c r="C40" s="388">
        <f t="shared" si="28"/>
        <v>0.02962910399</v>
      </c>
      <c r="D40" s="721">
        <f t="shared" si="28"/>
        <v>0.03087664521</v>
      </c>
      <c r="E40" s="720">
        <f t="shared" ref="E40:G40" si="29">$I27*(1-B$34)</f>
        <v>0.002460155138</v>
      </c>
      <c r="F40" s="388">
        <f t="shared" si="29"/>
        <v>0.002596830424</v>
      </c>
      <c r="G40" s="721">
        <f t="shared" si="29"/>
        <v>0.002706170652</v>
      </c>
      <c r="H40" s="388">
        <f t="shared" ref="H40:J40" si="30">$M27*(1-B$34)</f>
        <v>0.00286366455</v>
      </c>
      <c r="I40" s="388">
        <f t="shared" si="30"/>
        <v>0.003022757025</v>
      </c>
      <c r="J40" s="721">
        <f t="shared" si="30"/>
        <v>0.003150031005</v>
      </c>
      <c r="P40" s="151"/>
      <c r="Q40" s="712"/>
      <c r="R40" s="712"/>
      <c r="S40" s="712"/>
    </row>
    <row r="41">
      <c r="A41" s="519" t="str">
        <f t="shared" si="27"/>
        <v>50-100 to 300mm</v>
      </c>
      <c r="B41" s="720">
        <f t="shared" ref="B41:D41" si="31">$E28*(1-B$34)</f>
        <v>0.1402202277</v>
      </c>
      <c r="C41" s="388">
        <f t="shared" si="31"/>
        <v>0.1480102403</v>
      </c>
      <c r="D41" s="721">
        <f t="shared" si="31"/>
        <v>0.1542422505</v>
      </c>
      <c r="E41" s="720">
        <f t="shared" ref="E41:G41" si="32">$I28*(1-B$34)</f>
        <v>0.01204083456</v>
      </c>
      <c r="F41" s="388">
        <f t="shared" si="32"/>
        <v>0.01270976981</v>
      </c>
      <c r="G41" s="721">
        <f t="shared" si="32"/>
        <v>0.01324491801</v>
      </c>
      <c r="H41" s="388">
        <f t="shared" ref="H41:J41" si="33">$M28*(1-B$34)</f>
        <v>0.006775358126</v>
      </c>
      <c r="I41" s="388">
        <f t="shared" si="33"/>
        <v>0.007151766911</v>
      </c>
      <c r="J41" s="721">
        <f t="shared" si="33"/>
        <v>0.007452893939</v>
      </c>
      <c r="P41" s="151"/>
      <c r="Q41" s="712"/>
      <c r="R41" s="712"/>
      <c r="S41" s="712"/>
    </row>
    <row r="42">
      <c r="A42" s="519" t="str">
        <f t="shared" si="27"/>
        <v>100-150 to 300mm</v>
      </c>
      <c r="B42" s="720">
        <f t="shared" ref="B42:D42" si="34">$E29*(1-B$34)</f>
        <v>0.1177399328</v>
      </c>
      <c r="C42" s="388">
        <f t="shared" si="34"/>
        <v>0.1242810402</v>
      </c>
      <c r="D42" s="721">
        <f t="shared" si="34"/>
        <v>0.1295139261</v>
      </c>
      <c r="E42" s="720">
        <f t="shared" ref="E42:G42" si="35">$I29*(1-B$34)</f>
        <v>0.01034885334</v>
      </c>
      <c r="F42" s="388">
        <f t="shared" si="35"/>
        <v>0.01092378964</v>
      </c>
      <c r="G42" s="721">
        <f t="shared" si="35"/>
        <v>0.01138373867</v>
      </c>
      <c r="H42" s="388">
        <f t="shared" ref="H42:J42" si="36">$M29*(1-B$34)</f>
        <v>0.007175846964</v>
      </c>
      <c r="I42" s="388">
        <f t="shared" si="36"/>
        <v>0.007574505129</v>
      </c>
      <c r="J42" s="721">
        <f t="shared" si="36"/>
        <v>0.00789343166</v>
      </c>
      <c r="P42" s="151"/>
      <c r="Q42" s="712"/>
      <c r="R42" s="712"/>
      <c r="S42" s="712"/>
    </row>
    <row r="43">
      <c r="A43" s="519" t="str">
        <f t="shared" si="27"/>
        <v>150-200 to 300mm</v>
      </c>
      <c r="B43" s="720">
        <f t="shared" ref="B43:D43" si="37">$E30*(1-B$34)</f>
        <v>0.1027892184</v>
      </c>
      <c r="C43" s="388">
        <f t="shared" si="37"/>
        <v>0.1084997305</v>
      </c>
      <c r="D43" s="721">
        <f t="shared" si="37"/>
        <v>0.1130681402</v>
      </c>
      <c r="E43" s="720">
        <f t="shared" ref="E43:G43" si="38">$I30*(1-B$34)</f>
        <v>0.007727529741</v>
      </c>
      <c r="F43" s="388">
        <f t="shared" si="38"/>
        <v>0.008156836949</v>
      </c>
      <c r="G43" s="721">
        <f t="shared" si="38"/>
        <v>0.008500282715</v>
      </c>
      <c r="H43" s="388">
        <f t="shared" ref="H43:J43" si="39">$M30*(1-B$34)</f>
        <v>0.005959435585</v>
      </c>
      <c r="I43" s="388">
        <f t="shared" si="39"/>
        <v>0.006290515339</v>
      </c>
      <c r="J43" s="721">
        <f t="shared" si="39"/>
        <v>0.006555379143</v>
      </c>
      <c r="P43" s="151"/>
      <c r="Q43" s="712"/>
      <c r="R43" s="712"/>
      <c r="S43" s="712"/>
    </row>
    <row r="44">
      <c r="A44" s="524" t="str">
        <f t="shared" si="27"/>
        <v>200-250 to 300mm</v>
      </c>
      <c r="B44" s="722">
        <f t="shared" ref="B44:D44" si="40">$E31*(1-B$34)</f>
        <v>0.0991834671</v>
      </c>
      <c r="C44" s="392">
        <f t="shared" si="40"/>
        <v>0.1046936597</v>
      </c>
      <c r="D44" s="546">
        <f t="shared" si="40"/>
        <v>0.1091018138</v>
      </c>
      <c r="E44" s="722">
        <f t="shared" ref="E44:G44" si="41">$I31*(1-B$34)</f>
        <v>0.006157252423</v>
      </c>
      <c r="F44" s="392">
        <f t="shared" si="41"/>
        <v>0.006499322002</v>
      </c>
      <c r="G44" s="546">
        <f t="shared" si="41"/>
        <v>0.006772977665</v>
      </c>
      <c r="H44" s="392">
        <f t="shared" ref="H44:J44" si="42">$M31*(1-B$34)</f>
        <v>0.005678596747</v>
      </c>
      <c r="I44" s="392">
        <f t="shared" si="42"/>
        <v>0.005994074344</v>
      </c>
      <c r="J44" s="546">
        <f t="shared" si="42"/>
        <v>0.006246456422</v>
      </c>
      <c r="P44" s="151"/>
      <c r="Q44" s="712"/>
      <c r="R44" s="712"/>
      <c r="S44" s="712"/>
    </row>
    <row r="45">
      <c r="A45" s="234"/>
      <c r="B45" s="715"/>
      <c r="K45" s="273"/>
      <c r="P45" s="151"/>
      <c r="Q45" s="712"/>
      <c r="R45" s="712"/>
      <c r="S45" s="712"/>
    </row>
    <row r="46">
      <c r="A46" s="234"/>
      <c r="H46" s="517"/>
      <c r="I46" s="517"/>
      <c r="J46" s="517"/>
    </row>
    <row r="47">
      <c r="A47" s="234"/>
      <c r="H47" s="723"/>
      <c r="I47" s="723"/>
      <c r="J47" s="723"/>
    </row>
    <row r="48">
      <c r="A48" s="109" t="s">
        <v>3</v>
      </c>
      <c r="B48" s="308" t="s">
        <v>10</v>
      </c>
      <c r="C48" s="178"/>
      <c r="D48" s="178"/>
      <c r="E48" s="178"/>
      <c r="F48" s="178"/>
      <c r="G48" s="178"/>
      <c r="H48" s="178"/>
      <c r="I48" s="178"/>
      <c r="J48" s="492"/>
      <c r="K48" s="308" t="s">
        <v>137</v>
      </c>
      <c r="L48" s="178"/>
      <c r="M48" s="178"/>
      <c r="N48" s="178"/>
      <c r="O48" s="178"/>
      <c r="P48" s="178"/>
      <c r="Q48" s="178"/>
      <c r="R48" s="178"/>
      <c r="S48" s="179"/>
      <c r="T48" s="493" t="s">
        <v>138</v>
      </c>
    </row>
    <row r="49">
      <c r="A49" s="261"/>
      <c r="B49" s="40" t="s">
        <v>21</v>
      </c>
      <c r="C49" s="41"/>
      <c r="D49" s="42"/>
      <c r="E49" s="40" t="s">
        <v>22</v>
      </c>
      <c r="F49" s="41"/>
      <c r="G49" s="42"/>
      <c r="H49" s="43" t="s">
        <v>23</v>
      </c>
      <c r="I49" s="44"/>
      <c r="J49" s="45"/>
      <c r="K49" s="40" t="s">
        <v>21</v>
      </c>
      <c r="L49" s="41"/>
      <c r="M49" s="42"/>
      <c r="N49" s="40" t="s">
        <v>22</v>
      </c>
      <c r="O49" s="41"/>
      <c r="P49" s="42"/>
      <c r="Q49" s="43" t="s">
        <v>23</v>
      </c>
      <c r="R49" s="44"/>
      <c r="S49" s="45"/>
      <c r="T49" s="321"/>
    </row>
    <row r="50">
      <c r="A50" s="113"/>
      <c r="B50" s="58" t="s">
        <v>24</v>
      </c>
      <c r="C50" s="54" t="s">
        <v>25</v>
      </c>
      <c r="D50" s="55" t="s">
        <v>26</v>
      </c>
      <c r="E50" s="58" t="s">
        <v>24</v>
      </c>
      <c r="F50" s="54" t="s">
        <v>25</v>
      </c>
      <c r="G50" s="55" t="s">
        <v>26</v>
      </c>
      <c r="H50" s="58" t="s">
        <v>24</v>
      </c>
      <c r="I50" s="54" t="s">
        <v>25</v>
      </c>
      <c r="J50" s="55" t="s">
        <v>26</v>
      </c>
      <c r="K50" s="58" t="s">
        <v>24</v>
      </c>
      <c r="L50" s="54" t="s">
        <v>25</v>
      </c>
      <c r="M50" s="55" t="s">
        <v>26</v>
      </c>
      <c r="N50" s="58" t="s">
        <v>24</v>
      </c>
      <c r="O50" s="54" t="s">
        <v>25</v>
      </c>
      <c r="P50" s="55" t="s">
        <v>26</v>
      </c>
      <c r="Q50" s="58" t="s">
        <v>24</v>
      </c>
      <c r="R50" s="54" t="s">
        <v>25</v>
      </c>
      <c r="S50" s="55" t="s">
        <v>26</v>
      </c>
      <c r="T50" s="321"/>
    </row>
    <row r="51">
      <c r="A51" s="241" t="str">
        <f t="shared" ref="A51:A56" si="46">A39</f>
        <v>None to 300mm</v>
      </c>
      <c r="B51" s="684">
        <f t="shared" ref="B51:D51" si="43">B26</f>
        <v>4515.2</v>
      </c>
      <c r="C51" s="685">
        <f t="shared" si="43"/>
        <v>5178.88</v>
      </c>
      <c r="D51" s="686">
        <f t="shared" si="43"/>
        <v>5755.52</v>
      </c>
      <c r="E51" s="684">
        <f t="shared" ref="E51:G51" si="44">F26</f>
        <v>7295.7</v>
      </c>
      <c r="F51" s="685">
        <f t="shared" si="44"/>
        <v>8368.08</v>
      </c>
      <c r="G51" s="686">
        <f t="shared" si="44"/>
        <v>9299.82</v>
      </c>
      <c r="H51" s="684">
        <f t="shared" ref="H51:J51" si="45">J26</f>
        <v>3557.18</v>
      </c>
      <c r="I51" s="685">
        <f t="shared" si="45"/>
        <v>4027.76</v>
      </c>
      <c r="J51" s="686">
        <f t="shared" si="45"/>
        <v>4548.94</v>
      </c>
      <c r="K51" s="684">
        <f>B39*numberDwellingsUK/1000</f>
        <v>235.2748294</v>
      </c>
      <c r="L51" s="685">
        <f>C39*numberDwellingsUK/1000</f>
        <v>248.3456532</v>
      </c>
      <c r="M51" s="686">
        <f>D39*numberDwellingsUK/1000</f>
        <v>258.8023123</v>
      </c>
      <c r="N51" s="85">
        <f>E39*numberDwellingsUK/1000</f>
        <v>42.39391861</v>
      </c>
      <c r="O51" s="86">
        <f>F39*numberDwellingsUK/1000</f>
        <v>44.74913631</v>
      </c>
      <c r="P51" s="87">
        <f>G39*numberDwellingsUK/1000</f>
        <v>46.63331047</v>
      </c>
      <c r="Q51" s="85">
        <f>H39*numberDwellingsUK/1000</f>
        <v>20.51478701</v>
      </c>
      <c r="R51" s="86">
        <f>I39*numberDwellingsUK/1000</f>
        <v>21.6544974</v>
      </c>
      <c r="S51" s="87">
        <f>J39*numberDwellingsUK/1000</f>
        <v>22.56626571</v>
      </c>
      <c r="T51" s="140" t="s">
        <v>537</v>
      </c>
    </row>
    <row r="52">
      <c r="A52" s="241" t="str">
        <f t="shared" si="46"/>
        <v>0- 50, to 300mm</v>
      </c>
      <c r="B52" s="684">
        <f t="shared" ref="B52:D52" si="47">B27</f>
        <v>1224</v>
      </c>
      <c r="C52" s="685">
        <f t="shared" si="47"/>
        <v>1506.88</v>
      </c>
      <c r="D52" s="686">
        <f t="shared" si="47"/>
        <v>1702.72</v>
      </c>
      <c r="E52" s="684">
        <f t="shared" ref="E52:G52" si="48">F27</f>
        <v>1977.75</v>
      </c>
      <c r="F52" s="685">
        <f t="shared" si="48"/>
        <v>2434.83</v>
      </c>
      <c r="G52" s="686">
        <f t="shared" si="48"/>
        <v>2751.27</v>
      </c>
      <c r="H52" s="684">
        <f t="shared" ref="H52:J52" si="49">J27</f>
        <v>1092.96</v>
      </c>
      <c r="I52" s="685">
        <f t="shared" si="49"/>
        <v>1204.28</v>
      </c>
      <c r="J52" s="686">
        <f t="shared" si="49"/>
        <v>1295.36</v>
      </c>
      <c r="K52" s="684">
        <f>B40*numberDwellingsUK/1000</f>
        <v>790.2686187</v>
      </c>
      <c r="L52" s="685">
        <f>C40*numberDwellingsUK/1000</f>
        <v>834.1724308</v>
      </c>
      <c r="M52" s="686">
        <f>D40*numberDwellingsUK/1000</f>
        <v>869.2954805</v>
      </c>
      <c r="N52" s="85">
        <f>E40*numberDwellingsUK/1000</f>
        <v>69.26276247</v>
      </c>
      <c r="O52" s="86">
        <f>F40*numberDwellingsUK/1000</f>
        <v>73.11069372</v>
      </c>
      <c r="P52" s="87">
        <f>G40*numberDwellingsUK/1000</f>
        <v>76.18903872</v>
      </c>
      <c r="Q52" s="85">
        <f>H40*numberDwellingsUK/1000</f>
        <v>80.62309341</v>
      </c>
      <c r="R52" s="86">
        <f>I40*numberDwellingsUK/1000</f>
        <v>85.10215416</v>
      </c>
      <c r="S52" s="87">
        <f>J40*numberDwellingsUK/1000</f>
        <v>88.68540275</v>
      </c>
      <c r="T52" s="140" t="s">
        <v>537</v>
      </c>
    </row>
    <row r="53">
      <c r="A53" s="241" t="str">
        <f t="shared" si="46"/>
        <v>50-100 to 300mm</v>
      </c>
      <c r="B53" s="684">
        <f t="shared" ref="B53:D53" si="50">B28</f>
        <v>544</v>
      </c>
      <c r="C53" s="685">
        <f t="shared" si="50"/>
        <v>712.64</v>
      </c>
      <c r="D53" s="686">
        <f t="shared" si="50"/>
        <v>799.68</v>
      </c>
      <c r="E53" s="684">
        <f t="shared" ref="E53:G53" si="51">F28</f>
        <v>879</v>
      </c>
      <c r="F53" s="685">
        <f t="shared" si="51"/>
        <v>1151.49</v>
      </c>
      <c r="G53" s="686">
        <f t="shared" si="51"/>
        <v>1292.13</v>
      </c>
      <c r="H53" s="684">
        <f t="shared" ref="H53:J53" si="52">J28</f>
        <v>475.64</v>
      </c>
      <c r="I53" s="685">
        <f t="shared" si="52"/>
        <v>551.54</v>
      </c>
      <c r="J53" s="686">
        <f t="shared" si="52"/>
        <v>612.26</v>
      </c>
      <c r="K53" s="684">
        <f>B41*numberDwellingsUK/1000</f>
        <v>3947.73491</v>
      </c>
      <c r="L53" s="685">
        <f>C41*numberDwellingsUK/1000</f>
        <v>4167.053516</v>
      </c>
      <c r="M53" s="686">
        <f>D41*numberDwellingsUK/1000</f>
        <v>4342.508401</v>
      </c>
      <c r="N53" s="85">
        <f>E41*numberDwellingsUK/1000</f>
        <v>338.9954768</v>
      </c>
      <c r="O53" s="86">
        <f>F41*numberDwellingsUK/1000</f>
        <v>357.8285588</v>
      </c>
      <c r="P53" s="87">
        <f>G41*numberDwellingsUK/1000</f>
        <v>372.8950244</v>
      </c>
      <c r="Q53" s="85">
        <f>H41*numberDwellingsUK/1000</f>
        <v>190.7522063</v>
      </c>
      <c r="R53" s="86">
        <f>I41*numberDwellingsUK/1000</f>
        <v>201.3495511</v>
      </c>
      <c r="S53" s="87">
        <f>J41*numberDwellingsUK/1000</f>
        <v>209.827427</v>
      </c>
      <c r="T53" s="140" t="s">
        <v>538</v>
      </c>
    </row>
    <row r="54">
      <c r="A54" s="241" t="str">
        <f t="shared" si="46"/>
        <v>100-150 to 300mm</v>
      </c>
      <c r="B54" s="684">
        <f t="shared" ref="B54:D54" si="53">B29</f>
        <v>369.92</v>
      </c>
      <c r="C54" s="685">
        <f t="shared" si="53"/>
        <v>435.2</v>
      </c>
      <c r="D54" s="686">
        <f t="shared" si="53"/>
        <v>489.6</v>
      </c>
      <c r="E54" s="684">
        <f t="shared" ref="E54:G54" si="54">F29</f>
        <v>597.72</v>
      </c>
      <c r="F54" s="685">
        <f t="shared" si="54"/>
        <v>703.2</v>
      </c>
      <c r="G54" s="686">
        <f t="shared" si="54"/>
        <v>791.1</v>
      </c>
      <c r="H54" s="684">
        <f t="shared" ref="H54:J54" si="55">J29</f>
        <v>313.72</v>
      </c>
      <c r="I54" s="685">
        <f t="shared" si="55"/>
        <v>349.14</v>
      </c>
      <c r="J54" s="686">
        <f t="shared" si="55"/>
        <v>394.68</v>
      </c>
      <c r="K54" s="684">
        <f>B42*numberDwellingsUK/1000</f>
        <v>3314.828758</v>
      </c>
      <c r="L54" s="685">
        <f>C42*numberDwellingsUK/1000</f>
        <v>3498.985911</v>
      </c>
      <c r="M54" s="686">
        <f>D42*numberDwellingsUK/1000</f>
        <v>3646.311634</v>
      </c>
      <c r="N54" s="85">
        <f>E42*numberDwellingsUK/1000</f>
        <v>291.3597438</v>
      </c>
      <c r="O54" s="86">
        <f>F42*numberDwellingsUK/1000</f>
        <v>307.5463962</v>
      </c>
      <c r="P54" s="87">
        <f>G42*numberDwellingsUK/1000</f>
        <v>320.4957181</v>
      </c>
      <c r="Q54" s="85">
        <f>H42*numberDwellingsUK/1000</f>
        <v>202.0274966</v>
      </c>
      <c r="R54" s="86">
        <f>I42*numberDwellingsUK/1000</f>
        <v>213.2512464</v>
      </c>
      <c r="S54" s="87">
        <f>J42*numberDwellingsUK/1000</f>
        <v>222.2302463</v>
      </c>
      <c r="T54" s="140" t="s">
        <v>538</v>
      </c>
    </row>
    <row r="55">
      <c r="A55" s="241" t="str">
        <f t="shared" si="46"/>
        <v>150-200 to 300mm</v>
      </c>
      <c r="B55" s="684">
        <f t="shared" ref="B55:D55" si="56">B30</f>
        <v>157.76</v>
      </c>
      <c r="C55" s="685">
        <f t="shared" si="56"/>
        <v>179.52</v>
      </c>
      <c r="D55" s="686">
        <f t="shared" si="56"/>
        <v>201.28</v>
      </c>
      <c r="E55" s="684">
        <f t="shared" ref="E55:G55" si="57">F30</f>
        <v>254.91</v>
      </c>
      <c r="F55" s="685">
        <f t="shared" si="57"/>
        <v>290.07</v>
      </c>
      <c r="G55" s="686">
        <f t="shared" si="57"/>
        <v>325.23</v>
      </c>
      <c r="H55" s="684">
        <f t="shared" ref="H55:J55" si="58">J30</f>
        <v>131.56</v>
      </c>
      <c r="I55" s="685">
        <f t="shared" si="58"/>
        <v>146.74</v>
      </c>
      <c r="J55" s="686">
        <f t="shared" si="58"/>
        <v>166.98</v>
      </c>
      <c r="K55" s="684">
        <f>B43*numberDwellingsUK/1000</f>
        <v>2893.909049</v>
      </c>
      <c r="L55" s="685">
        <f>C43*numberDwellingsUK/1000</f>
        <v>3054.681774</v>
      </c>
      <c r="M55" s="686">
        <f>D43*numberDwellingsUK/1000</f>
        <v>3183.299954</v>
      </c>
      <c r="N55" s="85">
        <f>E43*numberDwellingsUK/1000</f>
        <v>217.5594736</v>
      </c>
      <c r="O55" s="86">
        <f>F43*numberDwellingsUK/1000</f>
        <v>229.6461111</v>
      </c>
      <c r="P55" s="87">
        <f>G43*numberDwellingsUK/1000</f>
        <v>239.315421</v>
      </c>
      <c r="Q55" s="85">
        <f>H43*numberDwellingsUK/1000</f>
        <v>167.7808708</v>
      </c>
      <c r="R55" s="86">
        <f>I43*numberDwellingsUK/1000</f>
        <v>177.1020303</v>
      </c>
      <c r="S55" s="87">
        <f>J43*numberDwellingsUK/1000</f>
        <v>184.5589579</v>
      </c>
      <c r="T55" s="140" t="s">
        <v>501</v>
      </c>
    </row>
    <row r="56">
      <c r="A56" s="241" t="str">
        <f t="shared" si="46"/>
        <v>200-250 to 300mm</v>
      </c>
      <c r="B56" s="554">
        <f t="shared" ref="B56:D56" si="59">B31</f>
        <v>70.72</v>
      </c>
      <c r="C56" s="555">
        <f t="shared" si="59"/>
        <v>76.16</v>
      </c>
      <c r="D56" s="556">
        <f t="shared" si="59"/>
        <v>87.04</v>
      </c>
      <c r="E56" s="554">
        <f t="shared" ref="E56:G56" si="60">F31</f>
        <v>114.27</v>
      </c>
      <c r="F56" s="555">
        <f t="shared" si="60"/>
        <v>123.06</v>
      </c>
      <c r="G56" s="556">
        <f t="shared" si="60"/>
        <v>140.64</v>
      </c>
      <c r="H56" s="554">
        <f t="shared" ref="H56:J56" si="61">J31</f>
        <v>55.66</v>
      </c>
      <c r="I56" s="555">
        <f t="shared" si="61"/>
        <v>60.72</v>
      </c>
      <c r="J56" s="556">
        <f t="shared" si="61"/>
        <v>70.84</v>
      </c>
      <c r="K56" s="554">
        <f>B44*numberDwellingsUK/1000</f>
        <v>2792.393381</v>
      </c>
      <c r="L56" s="555">
        <f>C44*numberDwellingsUK/1000</f>
        <v>2947.526346</v>
      </c>
      <c r="M56" s="556">
        <f>D44*numberDwellingsUK/1000</f>
        <v>3071.632719</v>
      </c>
      <c r="N56" s="116">
        <f>E44*numberDwellingsUK/1000</f>
        <v>173.3501702</v>
      </c>
      <c r="O56" s="117">
        <f>F44*numberDwellingsUK/1000</f>
        <v>182.9807353</v>
      </c>
      <c r="P56" s="118">
        <f>G44*numberDwellingsUK/1000</f>
        <v>190.6851873</v>
      </c>
      <c r="Q56" s="116">
        <f>H44*numberDwellingsUK/1000</f>
        <v>159.874185</v>
      </c>
      <c r="R56" s="117">
        <f>I44*numberDwellingsUK/1000</f>
        <v>168.7560842</v>
      </c>
      <c r="S56" s="118">
        <f>J44*numberDwellingsUK/1000</f>
        <v>175.8616035</v>
      </c>
      <c r="T56" s="297" t="s">
        <v>501</v>
      </c>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6">
    <mergeCell ref="E24:E25"/>
    <mergeCell ref="I24:I25"/>
    <mergeCell ref="M24:M25"/>
    <mergeCell ref="N24:N25"/>
    <mergeCell ref="B48:J48"/>
    <mergeCell ref="K48:S48"/>
  </mergeCells>
  <printOptions/>
  <pageMargins bottom="0.75" footer="0.0" header="0.0" left="0.7" right="0.7"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64.33"/>
    <col customWidth="1" min="2" max="7" width="10.44"/>
    <col customWidth="1" min="8" max="8" width="14.44"/>
    <col customWidth="1" min="9" max="10" width="10.44"/>
    <col customWidth="1" min="11" max="11" width="12.44"/>
    <col customWidth="1" min="12" max="19" width="10.44"/>
    <col customWidth="1" min="20" max="20" width="19.33"/>
    <col customWidth="1" min="21" max="26" width="10.44"/>
  </cols>
  <sheetData>
    <row r="1">
      <c r="A1" s="68" t="s">
        <v>539</v>
      </c>
      <c r="B1" s="152"/>
      <c r="C1" s="152"/>
      <c r="D1" s="152"/>
      <c r="E1" s="152"/>
      <c r="F1" s="152"/>
      <c r="G1" s="152"/>
      <c r="H1" s="152"/>
      <c r="I1" s="18"/>
      <c r="J1" s="18"/>
      <c r="K1" s="18"/>
    </row>
    <row r="2">
      <c r="A2" s="68" t="s">
        <v>540</v>
      </c>
      <c r="B2" s="152"/>
      <c r="C2" s="152"/>
      <c r="D2" s="152"/>
      <c r="E2" s="152"/>
      <c r="F2" s="152"/>
      <c r="G2" s="152"/>
      <c r="H2" s="152"/>
      <c r="I2" s="18"/>
      <c r="J2" s="18"/>
      <c r="K2" s="18"/>
    </row>
    <row r="3">
      <c r="A3" s="234" t="s">
        <v>541</v>
      </c>
    </row>
    <row r="4">
      <c r="A4" s="234" t="s">
        <v>542</v>
      </c>
    </row>
    <row r="5">
      <c r="A5" s="234" t="s">
        <v>543</v>
      </c>
    </row>
    <row r="6" ht="78.75" customHeight="1">
      <c r="A6" s="234" t="s">
        <v>544</v>
      </c>
    </row>
    <row r="7">
      <c r="A7" s="234" t="s">
        <v>545</v>
      </c>
    </row>
    <row r="8">
      <c r="A8" s="234"/>
    </row>
    <row r="9">
      <c r="A9" s="234"/>
    </row>
    <row r="10">
      <c r="A10" s="724" t="s">
        <v>546</v>
      </c>
      <c r="B10" s="725"/>
      <c r="C10" s="725"/>
      <c r="D10" s="725"/>
      <c r="E10" s="725"/>
      <c r="F10" s="726"/>
    </row>
    <row r="11">
      <c r="A11" s="727" t="s">
        <v>547</v>
      </c>
      <c r="F11" s="728"/>
      <c r="H11" s="217" t="s">
        <v>548</v>
      </c>
    </row>
    <row r="12">
      <c r="A12" s="727"/>
      <c r="F12" s="728"/>
      <c r="H12" s="217" t="s">
        <v>549</v>
      </c>
    </row>
    <row r="13">
      <c r="A13" s="729" t="s">
        <v>550</v>
      </c>
      <c r="B13" s="520"/>
      <c r="C13" s="520"/>
      <c r="D13" s="520"/>
      <c r="E13" s="520"/>
      <c r="F13" s="728"/>
    </row>
    <row r="14">
      <c r="A14" s="730"/>
      <c r="B14" s="520" t="s">
        <v>551</v>
      </c>
      <c r="C14" s="520"/>
      <c r="D14" s="520" t="s">
        <v>552</v>
      </c>
      <c r="E14" s="520"/>
      <c r="F14" s="728"/>
    </row>
    <row r="15">
      <c r="A15" s="729" t="s">
        <v>447</v>
      </c>
      <c r="B15" s="520">
        <v>1.1</v>
      </c>
      <c r="C15" s="520">
        <v>1.1</v>
      </c>
      <c r="D15" s="520">
        <v>2.1</v>
      </c>
      <c r="E15" s="520">
        <v>2.1</v>
      </c>
      <c r="F15" s="728" t="s">
        <v>553</v>
      </c>
    </row>
    <row r="16">
      <c r="A16" s="729"/>
      <c r="B16" s="520"/>
      <c r="C16" s="520"/>
      <c r="D16" s="520"/>
      <c r="E16" s="520"/>
      <c r="F16" s="728"/>
    </row>
    <row r="17">
      <c r="A17" s="730"/>
      <c r="B17" s="520" t="s">
        <v>554</v>
      </c>
      <c r="C17" s="520" t="s">
        <v>555</v>
      </c>
      <c r="D17" s="520" t="s">
        <v>554</v>
      </c>
      <c r="E17" s="520" t="s">
        <v>555</v>
      </c>
      <c r="F17" s="728"/>
    </row>
    <row r="18">
      <c r="A18" s="729" t="s">
        <v>556</v>
      </c>
      <c r="B18" s="520">
        <v>50.7</v>
      </c>
      <c r="C18" s="520">
        <v>50.7</v>
      </c>
      <c r="D18" s="520">
        <v>51.5</v>
      </c>
      <c r="E18" s="520">
        <v>50.8</v>
      </c>
      <c r="F18" s="728" t="s">
        <v>557</v>
      </c>
    </row>
    <row r="19">
      <c r="A19" s="729" t="s">
        <v>558</v>
      </c>
      <c r="B19" s="520">
        <v>34.5</v>
      </c>
      <c r="C19" s="520">
        <v>19.9</v>
      </c>
      <c r="D19" s="520">
        <v>29.0</v>
      </c>
      <c r="E19" s="520">
        <v>15.9</v>
      </c>
      <c r="F19" s="728" t="s">
        <v>557</v>
      </c>
    </row>
    <row r="20">
      <c r="A20" s="729" t="s">
        <v>559</v>
      </c>
      <c r="B20" s="520">
        <v>1.8</v>
      </c>
      <c r="C20" s="520">
        <v>2.2</v>
      </c>
      <c r="D20" s="520">
        <v>3.8</v>
      </c>
      <c r="E20" s="520">
        <v>2.4</v>
      </c>
      <c r="F20" s="728" t="s">
        <v>557</v>
      </c>
    </row>
    <row r="21">
      <c r="A21" s="729" t="s">
        <v>560</v>
      </c>
      <c r="B21" s="520">
        <v>0.2</v>
      </c>
      <c r="C21" s="520">
        <v>1.0</v>
      </c>
      <c r="D21" s="520">
        <v>0.2</v>
      </c>
      <c r="E21" s="520">
        <v>0.5</v>
      </c>
      <c r="F21" s="728" t="s">
        <v>557</v>
      </c>
    </row>
    <row r="22">
      <c r="A22" s="731"/>
      <c r="F22" s="728"/>
    </row>
    <row r="23">
      <c r="A23" s="732" t="s">
        <v>561</v>
      </c>
      <c r="B23" s="289"/>
      <c r="C23" s="289"/>
      <c r="D23" s="289"/>
      <c r="E23" s="289"/>
      <c r="F23" s="728"/>
    </row>
    <row r="24">
      <c r="A24" s="733" t="s">
        <v>562</v>
      </c>
      <c r="B24" s="289">
        <f t="shared" ref="B24:E24" si="1">B19-B20</f>
        <v>32.7</v>
      </c>
      <c r="C24" s="289">
        <f t="shared" si="1"/>
        <v>17.7</v>
      </c>
      <c r="D24" s="289">
        <f t="shared" si="1"/>
        <v>25.2</v>
      </c>
      <c r="E24" s="289">
        <f t="shared" si="1"/>
        <v>13.5</v>
      </c>
      <c r="F24" s="728" t="s">
        <v>557</v>
      </c>
    </row>
    <row r="25">
      <c r="A25" s="733" t="s">
        <v>563</v>
      </c>
      <c r="B25" s="289">
        <f t="shared" ref="B25:E25" si="2">B15-0.13</f>
        <v>0.97</v>
      </c>
      <c r="C25" s="289">
        <f t="shared" si="2"/>
        <v>0.97</v>
      </c>
      <c r="D25" s="289">
        <f t="shared" si="2"/>
        <v>1.97</v>
      </c>
      <c r="E25" s="289">
        <f t="shared" si="2"/>
        <v>1.97</v>
      </c>
      <c r="F25" s="728" t="s">
        <v>553</v>
      </c>
    </row>
    <row r="26">
      <c r="A26" s="733" t="s">
        <v>564</v>
      </c>
      <c r="B26" s="289">
        <f t="shared" ref="B26:E26" si="3">B25*B24</f>
        <v>31.719</v>
      </c>
      <c r="C26" s="289">
        <f t="shared" si="3"/>
        <v>17.169</v>
      </c>
      <c r="D26" s="289">
        <f t="shared" si="3"/>
        <v>49.644</v>
      </c>
      <c r="E26" s="289">
        <f t="shared" si="3"/>
        <v>26.595</v>
      </c>
      <c r="F26" s="728" t="s">
        <v>565</v>
      </c>
    </row>
    <row r="27">
      <c r="A27" s="733" t="s">
        <v>566</v>
      </c>
      <c r="B27" s="289"/>
      <c r="C27" s="289">
        <f>B26-C26</f>
        <v>14.55</v>
      </c>
      <c r="D27" s="289"/>
      <c r="E27" s="289">
        <f>D26-E26</f>
        <v>23.049</v>
      </c>
      <c r="F27" s="728" t="s">
        <v>565</v>
      </c>
    </row>
    <row r="28">
      <c r="A28" s="733" t="s">
        <v>567</v>
      </c>
      <c r="B28" s="734">
        <f t="shared" ref="B28:E28" si="4">B26/(B18-B21)</f>
        <v>0.6280990099</v>
      </c>
      <c r="C28" s="734">
        <f t="shared" si="4"/>
        <v>0.3454527163</v>
      </c>
      <c r="D28" s="734">
        <f t="shared" si="4"/>
        <v>0.9677192982</v>
      </c>
      <c r="E28" s="734">
        <f t="shared" si="4"/>
        <v>0.5287276342</v>
      </c>
      <c r="F28" s="728" t="s">
        <v>553</v>
      </c>
    </row>
    <row r="29">
      <c r="A29" s="735"/>
      <c r="B29" s="289"/>
      <c r="C29" s="289"/>
      <c r="D29" s="289"/>
      <c r="E29" s="289"/>
      <c r="F29" s="728"/>
      <c r="H29" s="217" t="s">
        <v>447</v>
      </c>
      <c r="I29" s="217" t="s">
        <v>568</v>
      </c>
    </row>
    <row r="30">
      <c r="A30" s="732" t="s">
        <v>569</v>
      </c>
      <c r="B30" s="289"/>
      <c r="C30" s="289"/>
      <c r="D30" s="289"/>
      <c r="E30" s="289"/>
      <c r="F30" s="728"/>
      <c r="H30" s="217">
        <v>0.0</v>
      </c>
      <c r="I30" s="217">
        <v>0.0</v>
      </c>
    </row>
    <row r="31">
      <c r="A31" s="733" t="s">
        <v>570</v>
      </c>
      <c r="B31" s="289">
        <v>45.0</v>
      </c>
      <c r="C31" s="289">
        <f t="shared" ref="C31:E31" si="5">B31</f>
        <v>45</v>
      </c>
      <c r="D31" s="289">
        <f t="shared" si="5"/>
        <v>45</v>
      </c>
      <c r="E31" s="289">
        <f t="shared" si="5"/>
        <v>45</v>
      </c>
      <c r="F31" s="728" t="s">
        <v>557</v>
      </c>
      <c r="H31" s="217">
        <f>C15</f>
        <v>1.1</v>
      </c>
      <c r="I31" s="736">
        <f>C38</f>
        <v>15.54554615</v>
      </c>
    </row>
    <row r="32">
      <c r="A32" s="733" t="s">
        <v>564</v>
      </c>
      <c r="B32" s="411">
        <f t="shared" ref="B32:E32" si="6">B$28*B31</f>
        <v>28.26445545</v>
      </c>
      <c r="C32" s="411">
        <f t="shared" si="6"/>
        <v>15.54537223</v>
      </c>
      <c r="D32" s="411">
        <f t="shared" si="6"/>
        <v>43.54736842</v>
      </c>
      <c r="E32" s="411">
        <f t="shared" si="6"/>
        <v>23.79274354</v>
      </c>
      <c r="F32" s="728" t="s">
        <v>565</v>
      </c>
      <c r="H32" s="217">
        <f>E15</f>
        <v>2.1</v>
      </c>
      <c r="I32" s="736">
        <f>E38</f>
        <v>24.14454152</v>
      </c>
    </row>
    <row r="33">
      <c r="A33" s="733" t="s">
        <v>566</v>
      </c>
      <c r="B33" s="411"/>
      <c r="C33" s="737">
        <f>B32-C32</f>
        <v>12.71908321</v>
      </c>
      <c r="D33" s="411"/>
      <c r="E33" s="737">
        <f>D32-E32</f>
        <v>19.75462488</v>
      </c>
      <c r="F33" s="728" t="s">
        <v>565</v>
      </c>
    </row>
    <row r="34">
      <c r="A34" s="735"/>
      <c r="B34" s="289"/>
      <c r="C34" s="289"/>
      <c r="D34" s="289"/>
      <c r="E34" s="289"/>
      <c r="F34" s="728"/>
    </row>
    <row r="35">
      <c r="A35" s="738" t="s">
        <v>571</v>
      </c>
      <c r="B35" s="289"/>
      <c r="C35" s="289"/>
      <c r="D35" s="289"/>
      <c r="E35" s="289"/>
      <c r="F35" s="728"/>
    </row>
    <row r="36">
      <c r="A36" s="733" t="s">
        <v>572</v>
      </c>
      <c r="B36" s="289">
        <v>55.0</v>
      </c>
      <c r="C36" s="289">
        <v>55.0</v>
      </c>
      <c r="D36" s="289">
        <v>55.0</v>
      </c>
      <c r="E36" s="289">
        <v>55.0</v>
      </c>
      <c r="F36" s="728" t="s">
        <v>557</v>
      </c>
    </row>
    <row r="37">
      <c r="A37" s="733" t="s">
        <v>564</v>
      </c>
      <c r="B37" s="411">
        <f t="shared" ref="B37:E37" si="7">B$28*B36</f>
        <v>34.54544554</v>
      </c>
      <c r="C37" s="411">
        <f t="shared" si="7"/>
        <v>18.9998994</v>
      </c>
      <c r="D37" s="411">
        <f t="shared" si="7"/>
        <v>53.2245614</v>
      </c>
      <c r="E37" s="411">
        <f t="shared" si="7"/>
        <v>29.08001988</v>
      </c>
      <c r="F37" s="728" t="s">
        <v>565</v>
      </c>
    </row>
    <row r="38">
      <c r="A38" s="739" t="s">
        <v>566</v>
      </c>
      <c r="B38" s="740"/>
      <c r="C38" s="741">
        <f>B37-C37</f>
        <v>15.54554615</v>
      </c>
      <c r="D38" s="740"/>
      <c r="E38" s="741">
        <f>D37-E37</f>
        <v>24.14454152</v>
      </c>
      <c r="F38" s="742" t="s">
        <v>565</v>
      </c>
    </row>
    <row r="39">
      <c r="A39" s="234"/>
      <c r="K39" s="447"/>
    </row>
    <row r="40">
      <c r="A40" s="234"/>
    </row>
    <row r="41">
      <c r="A41" s="234" t="s">
        <v>573</v>
      </c>
    </row>
    <row r="42">
      <c r="A42" s="234" t="s">
        <v>574</v>
      </c>
    </row>
    <row r="43">
      <c r="A43" s="743"/>
      <c r="B43" s="744" t="s">
        <v>447</v>
      </c>
      <c r="C43" s="744" t="s">
        <v>568</v>
      </c>
      <c r="D43" s="745" t="s">
        <v>118</v>
      </c>
    </row>
    <row r="44">
      <c r="A44" s="746" t="s">
        <v>575</v>
      </c>
      <c r="B44" s="289">
        <v>0.35</v>
      </c>
      <c r="C44" s="734">
        <f t="shared" ref="C44:C46" si="8">-2.6349*B44*B44+17.031*B44</f>
        <v>5.63807475</v>
      </c>
      <c r="D44" s="747">
        <v>0.166</v>
      </c>
      <c r="E44" s="217" t="s">
        <v>109</v>
      </c>
    </row>
    <row r="45">
      <c r="A45" s="746" t="s">
        <v>576</v>
      </c>
      <c r="B45" s="289">
        <v>0.65</v>
      </c>
      <c r="C45" s="734">
        <f t="shared" si="8"/>
        <v>9.95690475</v>
      </c>
      <c r="D45" s="747">
        <v>0.407</v>
      </c>
      <c r="E45" s="217" t="s">
        <v>109</v>
      </c>
    </row>
    <row r="46">
      <c r="A46" s="748" t="s">
        <v>577</v>
      </c>
      <c r="B46" s="421">
        <v>1.6</v>
      </c>
      <c r="C46" s="749">
        <f t="shared" si="8"/>
        <v>20.504256</v>
      </c>
      <c r="D46" s="718">
        <v>0.427</v>
      </c>
      <c r="E46" s="217" t="s">
        <v>109</v>
      </c>
    </row>
    <row r="47">
      <c r="A47" s="234"/>
    </row>
    <row r="48">
      <c r="A48" s="234"/>
    </row>
    <row r="49">
      <c r="A49" s="234"/>
    </row>
    <row r="50">
      <c r="A50" s="234"/>
    </row>
    <row r="51">
      <c r="A51" s="234"/>
    </row>
    <row r="52">
      <c r="A52" s="234"/>
    </row>
    <row r="53">
      <c r="A53" s="518" t="s">
        <v>578</v>
      </c>
      <c r="B53" s="236" t="s">
        <v>24</v>
      </c>
      <c r="C53" s="236" t="s">
        <v>25</v>
      </c>
      <c r="D53" s="258" t="s">
        <v>26</v>
      </c>
    </row>
    <row r="54">
      <c r="A54" s="746" t="s">
        <v>579</v>
      </c>
      <c r="B54" s="520">
        <v>3000.0</v>
      </c>
      <c r="C54" s="520">
        <v>1500.0</v>
      </c>
      <c r="D54" s="521">
        <v>1000.0</v>
      </c>
      <c r="E54" s="217" t="s">
        <v>124</v>
      </c>
      <c r="I54" s="750"/>
    </row>
    <row r="55">
      <c r="A55" s="510" t="s">
        <v>580</v>
      </c>
      <c r="D55" s="147"/>
    </row>
    <row r="56">
      <c r="A56" s="746" t="s">
        <v>581</v>
      </c>
      <c r="B56" s="751">
        <f t="shared" ref="B56:D56" si="9">$C44/B$54</f>
        <v>0.00187935825</v>
      </c>
      <c r="C56" s="751">
        <f t="shared" si="9"/>
        <v>0.0037587165</v>
      </c>
      <c r="D56" s="752">
        <f t="shared" si="9"/>
        <v>0.00563807475</v>
      </c>
      <c r="E56" s="217" t="s">
        <v>582</v>
      </c>
    </row>
    <row r="57">
      <c r="A57" s="746" t="s">
        <v>583</v>
      </c>
      <c r="B57" s="751">
        <f t="shared" ref="B57:D57" si="10">$C45/B$54</f>
        <v>0.00331896825</v>
      </c>
      <c r="C57" s="751">
        <f t="shared" si="10"/>
        <v>0.0066379365</v>
      </c>
      <c r="D57" s="752">
        <f t="shared" si="10"/>
        <v>0.00995690475</v>
      </c>
      <c r="E57" s="217" t="s">
        <v>582</v>
      </c>
    </row>
    <row r="58">
      <c r="A58" s="748" t="s">
        <v>584</v>
      </c>
      <c r="B58" s="753">
        <f t="shared" ref="B58:D58" si="11">$C46/B$54</f>
        <v>0.006834752</v>
      </c>
      <c r="C58" s="753">
        <f t="shared" si="11"/>
        <v>0.013669504</v>
      </c>
      <c r="D58" s="754">
        <f t="shared" si="11"/>
        <v>0.020504256</v>
      </c>
      <c r="E58" s="217" t="s">
        <v>582</v>
      </c>
    </row>
    <row r="59">
      <c r="A59" s="234"/>
    </row>
    <row r="60">
      <c r="A60" s="518" t="s">
        <v>585</v>
      </c>
      <c r="B60" s="236" t="s">
        <v>24</v>
      </c>
      <c r="C60" s="236" t="s">
        <v>25</v>
      </c>
      <c r="D60" s="258" t="s">
        <v>26</v>
      </c>
    </row>
    <row r="61">
      <c r="A61" s="519" t="s">
        <v>586</v>
      </c>
      <c r="B61" s="755">
        <v>0.5</v>
      </c>
      <c r="C61" s="755">
        <v>0.8</v>
      </c>
      <c r="D61" s="747">
        <v>0.9</v>
      </c>
      <c r="E61" s="217" t="s">
        <v>587</v>
      </c>
    </row>
    <row r="62">
      <c r="A62" s="519" t="s">
        <v>588</v>
      </c>
      <c r="B62" s="755">
        <v>0.1</v>
      </c>
      <c r="C62" s="755">
        <v>0.05</v>
      </c>
      <c r="D62" s="747">
        <v>0.02</v>
      </c>
      <c r="E62" s="217" t="s">
        <v>589</v>
      </c>
    </row>
    <row r="63">
      <c r="A63" s="524" t="s">
        <v>590</v>
      </c>
      <c r="B63" s="717">
        <v>0.8</v>
      </c>
      <c r="C63" s="717">
        <v>1.0</v>
      </c>
      <c r="D63" s="718">
        <v>1.2</v>
      </c>
      <c r="E63" s="217" t="s">
        <v>591</v>
      </c>
    </row>
    <row r="64">
      <c r="A64" s="756" t="s">
        <v>592</v>
      </c>
      <c r="B64" s="757">
        <f t="shared" ref="B64:D64" si="12">B61*(1-B62)*B63</f>
        <v>0.36</v>
      </c>
      <c r="C64" s="757">
        <f t="shared" si="12"/>
        <v>0.76</v>
      </c>
      <c r="D64" s="758">
        <f t="shared" si="12"/>
        <v>1.0584</v>
      </c>
    </row>
    <row r="65">
      <c r="A65" s="234"/>
    </row>
    <row r="66">
      <c r="A66" s="234"/>
    </row>
    <row r="67" ht="17.25" customHeight="1">
      <c r="A67" s="113" t="s">
        <v>593</v>
      </c>
      <c r="B67" s="40" t="s">
        <v>21</v>
      </c>
      <c r="C67" s="41"/>
      <c r="D67" s="41"/>
      <c r="E67" s="40" t="s">
        <v>22</v>
      </c>
      <c r="F67" s="41"/>
      <c r="G67" s="42"/>
      <c r="I67" s="70"/>
      <c r="J67" s="759"/>
      <c r="K67" s="185"/>
      <c r="L67" s="185"/>
      <c r="M67" s="70"/>
    </row>
    <row r="68">
      <c r="A68" s="241"/>
      <c r="B68" s="510" t="s">
        <v>501</v>
      </c>
      <c r="C68" s="141" t="s">
        <v>538</v>
      </c>
      <c r="D68" s="141" t="s">
        <v>537</v>
      </c>
      <c r="E68" s="510" t="s">
        <v>501</v>
      </c>
      <c r="F68" s="141" t="s">
        <v>538</v>
      </c>
      <c r="G68" s="760" t="s">
        <v>537</v>
      </c>
      <c r="K68" s="185"/>
      <c r="L68" s="185"/>
    </row>
    <row r="69">
      <c r="A69" s="241" t="s">
        <v>594</v>
      </c>
      <c r="B69" s="761">
        <f>B56*MeanDomesticGasBill*gasBillPropSpace*B$64</f>
        <v>6.472671312</v>
      </c>
      <c r="C69" s="762">
        <f>C56*MeanDomesticGasBill*gasBillPropSpace*C$64</f>
        <v>27.32905665</v>
      </c>
      <c r="D69" s="762">
        <f>D56*MeanDomesticGasBill*gasBillPropSpace*D$64</f>
        <v>57.08896097</v>
      </c>
      <c r="E69" s="761">
        <f>B56*MeanDomesticOilBill*gasBillPropSpace*'Radiator foil'!B$64</f>
        <v>10.83093319</v>
      </c>
      <c r="F69" s="762">
        <f>C56*MeanDomesticOilBill*gasBillPropSpace*'Radiator foil'!C$64</f>
        <v>45.73060679</v>
      </c>
      <c r="G69" s="763">
        <f>D56*MeanDomesticOilBill*gasBillPropSpace*'Radiator foil'!D$64</f>
        <v>95.5288307</v>
      </c>
      <c r="K69" s="106"/>
      <c r="L69" s="106"/>
      <c r="M69" s="273"/>
    </row>
    <row r="70">
      <c r="A70" s="57" t="s">
        <v>595</v>
      </c>
      <c r="B70" s="761">
        <f>B57*MeanDomesticGasBill*gasBillPropSpace*B$64</f>
        <v>11.43081186</v>
      </c>
      <c r="C70" s="762">
        <f>C57*MeanDomesticGasBill*gasBillPropSpace*C$64</f>
        <v>48.26342786</v>
      </c>
      <c r="D70" s="762">
        <f>D57*MeanDomesticGasBill*gasBillPropSpace*D$64</f>
        <v>100.8197606</v>
      </c>
      <c r="E70" s="761">
        <f>B57*MeanDomesticOilBill*gasBillPropSpace*'Radiator foil'!B$64</f>
        <v>19.12755238</v>
      </c>
      <c r="F70" s="762">
        <f>C57*MeanDomesticOilBill*gasBillPropSpace*'Radiator foil'!C$64</f>
        <v>80.7607767</v>
      </c>
      <c r="G70" s="763">
        <f>D57*MeanDomesticOilBill*gasBillPropSpace*'Radiator foil'!D$64</f>
        <v>168.705012</v>
      </c>
      <c r="K70" s="106"/>
      <c r="L70" s="106"/>
      <c r="M70" s="273"/>
    </row>
    <row r="71">
      <c r="A71" s="57" t="s">
        <v>596</v>
      </c>
      <c r="B71" s="764">
        <f>B58*MeanDomesticGasBill*gasBillPropSpace*B$64</f>
        <v>23.53947322</v>
      </c>
      <c r="C71" s="765">
        <f>C58*MeanDomesticGasBill*gasBillPropSpace*C$64</f>
        <v>99.38888693</v>
      </c>
      <c r="D71" s="765">
        <f>D58*MeanDomesticGasBill*gasBillPropSpace*D$64</f>
        <v>207.6181538</v>
      </c>
      <c r="E71" s="764">
        <f>B58*MeanDomesticOilBill*gasBillPropSpace*'Radiator foil'!B$64</f>
        <v>39.38937255</v>
      </c>
      <c r="F71" s="765">
        <f>C58*MeanDomesticOilBill*gasBillPropSpace*'Radiator foil'!C$64</f>
        <v>166.3106841</v>
      </c>
      <c r="G71" s="766">
        <f>D58*MeanDomesticOilBill*gasBillPropSpace*'Radiator foil'!D$64</f>
        <v>347.4142658</v>
      </c>
      <c r="K71" s="106"/>
      <c r="L71" s="106"/>
      <c r="M71" s="273"/>
    </row>
    <row r="72">
      <c r="A72" s="234"/>
      <c r="N72" s="273"/>
    </row>
    <row r="73" ht="17.25" customHeight="1">
      <c r="A73" s="767" t="s">
        <v>597</v>
      </c>
      <c r="B73" s="40" t="s">
        <v>21</v>
      </c>
      <c r="C73" s="41"/>
      <c r="D73" s="41"/>
      <c r="E73" s="40" t="s">
        <v>22</v>
      </c>
      <c r="F73" s="41"/>
      <c r="G73" s="42"/>
      <c r="H73" s="185"/>
      <c r="I73" s="70"/>
      <c r="J73" s="759"/>
      <c r="K73" s="185"/>
      <c r="L73" s="185"/>
      <c r="M73" s="70"/>
    </row>
    <row r="74">
      <c r="A74" s="519"/>
      <c r="B74" s="510" t="s">
        <v>501</v>
      </c>
      <c r="C74" s="141" t="s">
        <v>538</v>
      </c>
      <c r="D74" s="141" t="s">
        <v>537</v>
      </c>
      <c r="E74" s="510" t="s">
        <v>501</v>
      </c>
      <c r="F74" s="141" t="s">
        <v>538</v>
      </c>
      <c r="G74" s="760" t="s">
        <v>537</v>
      </c>
      <c r="H74" s="185"/>
      <c r="K74" s="185"/>
      <c r="L74" s="185"/>
    </row>
    <row r="75">
      <c r="A75" s="519" t="s">
        <v>594</v>
      </c>
      <c r="B75" s="768">
        <f>B69*gasPriceP/100</f>
        <v>0.4472184365</v>
      </c>
      <c r="C75" s="769">
        <f>C69*gasPriceP/100</f>
        <v>1.888255621</v>
      </c>
      <c r="D75" s="769">
        <f>D69*gasPriceP/100</f>
        <v>3.94446661</v>
      </c>
      <c r="E75" s="768">
        <f>E69*oilPriceP/100</f>
        <v>1.046466974</v>
      </c>
      <c r="F75" s="769">
        <f>F69*oilPriceP/100</f>
        <v>4.418416115</v>
      </c>
      <c r="G75" s="770">
        <f>G69*oilPriceP/100</f>
        <v>9.229838715</v>
      </c>
      <c r="H75" s="723"/>
      <c r="I75" s="273"/>
      <c r="J75" s="273"/>
      <c r="K75" s="723"/>
      <c r="L75" s="723"/>
      <c r="M75" s="273"/>
    </row>
    <row r="76">
      <c r="A76" s="746" t="s">
        <v>583</v>
      </c>
      <c r="B76" s="768">
        <f>B70*gasPriceP/100</f>
        <v>0.7897928943</v>
      </c>
      <c r="C76" s="769">
        <f>C70*gasPriceP/100</f>
        <v>3.334681109</v>
      </c>
      <c r="D76" s="769">
        <f>D70*gasPriceP/100</f>
        <v>6.965973328</v>
      </c>
      <c r="E76" s="768">
        <f>E70*oilPriceP/100</f>
        <v>1.848072693</v>
      </c>
      <c r="F76" s="769">
        <f>F70*oilPriceP/100</f>
        <v>7.802973595</v>
      </c>
      <c r="G76" s="770">
        <f>G70*oilPriceP/100</f>
        <v>16.30000116</v>
      </c>
      <c r="H76" s="723"/>
      <c r="I76" s="273"/>
      <c r="J76" s="273"/>
      <c r="K76" s="723"/>
      <c r="L76" s="723"/>
      <c r="M76" s="273"/>
    </row>
    <row r="77">
      <c r="A77" s="748" t="s">
        <v>584</v>
      </c>
      <c r="B77" s="771">
        <f>B71*gasPriceP/100</f>
        <v>1.62642067</v>
      </c>
      <c r="C77" s="772">
        <f>C71*gasPriceP/100</f>
        <v>6.867109494</v>
      </c>
      <c r="D77" s="772">
        <f>D71*gasPriceP/100</f>
        <v>14.34503031</v>
      </c>
      <c r="E77" s="771">
        <f>E71*oilPriceP/100</f>
        <v>3.805736478</v>
      </c>
      <c r="F77" s="772">
        <f>F71*oilPriceP/100</f>
        <v>16.06866513</v>
      </c>
      <c r="G77" s="773">
        <f>G71*oilPriceP/100</f>
        <v>33.56659573</v>
      </c>
      <c r="H77" s="723"/>
      <c r="I77" s="273"/>
      <c r="J77" s="273"/>
      <c r="K77" s="723"/>
      <c r="L77" s="723"/>
      <c r="M77" s="273"/>
    </row>
    <row r="78">
      <c r="N78" s="273"/>
    </row>
    <row r="79">
      <c r="A79" s="40" t="s">
        <v>241</v>
      </c>
      <c r="B79" s="40" t="s">
        <v>21</v>
      </c>
      <c r="C79" s="41"/>
      <c r="D79" s="42"/>
      <c r="E79" s="40" t="s">
        <v>22</v>
      </c>
      <c r="F79" s="41"/>
      <c r="G79" s="42"/>
      <c r="H79" s="41" t="s">
        <v>128</v>
      </c>
      <c r="I79" s="41"/>
      <c r="J79" s="42"/>
      <c r="N79" s="273"/>
    </row>
    <row r="80">
      <c r="A80" s="510" t="s">
        <v>598</v>
      </c>
      <c r="B80" s="58" t="s">
        <v>501</v>
      </c>
      <c r="C80" s="514" t="s">
        <v>538</v>
      </c>
      <c r="D80" s="605" t="s">
        <v>537</v>
      </c>
      <c r="E80" s="58" t="s">
        <v>501</v>
      </c>
      <c r="F80" s="514" t="s">
        <v>538</v>
      </c>
      <c r="G80" s="605" t="s">
        <v>537</v>
      </c>
      <c r="H80" s="514" t="s">
        <v>501</v>
      </c>
      <c r="I80" s="514" t="s">
        <v>538</v>
      </c>
      <c r="J80" s="605" t="s">
        <v>537</v>
      </c>
      <c r="N80" s="273"/>
    </row>
    <row r="81">
      <c r="A81" s="746" t="s">
        <v>594</v>
      </c>
      <c r="B81" s="270">
        <f>C81*0.9</f>
        <v>0.1248381647</v>
      </c>
      <c r="C81" s="271">
        <f>D44*propHomesGasHeating</f>
        <v>0.1387090718</v>
      </c>
      <c r="D81" s="272">
        <f t="shared" ref="D81:D83" si="14">C81*1.1</f>
        <v>0.152579979</v>
      </c>
      <c r="E81" s="270">
        <f t="shared" ref="E81:E83" si="15">F81*0.8</f>
        <v>0.007123538456</v>
      </c>
      <c r="F81" s="271">
        <f>D44*propHomesOilHeating</f>
        <v>0.00890442307</v>
      </c>
      <c r="G81" s="272">
        <f t="shared" ref="G81:G83" si="16">F81*1.1</f>
        <v>0.009794865377</v>
      </c>
      <c r="H81" s="271">
        <f t="shared" ref="H81:J81" si="13">B81+E81</f>
        <v>0.1319617031</v>
      </c>
      <c r="I81" s="271">
        <f t="shared" si="13"/>
        <v>0.1476134949</v>
      </c>
      <c r="J81" s="272">
        <f t="shared" si="13"/>
        <v>0.1623748444</v>
      </c>
      <c r="K81" s="217" t="s">
        <v>599</v>
      </c>
      <c r="N81" s="273"/>
    </row>
    <row r="82">
      <c r="A82" s="746" t="s">
        <v>583</v>
      </c>
      <c r="B82" s="270">
        <f t="shared" ref="B82:B83" si="18">C82*0.8</f>
        <v>0.272070324</v>
      </c>
      <c r="C82" s="271">
        <f>D45*propHomesGasHeating</f>
        <v>0.3400879051</v>
      </c>
      <c r="D82" s="272">
        <f t="shared" si="14"/>
        <v>0.3740966956</v>
      </c>
      <c r="E82" s="270">
        <f t="shared" si="15"/>
        <v>0.01746554308</v>
      </c>
      <c r="F82" s="271">
        <f>D45*propHomesOilHeating</f>
        <v>0.02183192885</v>
      </c>
      <c r="G82" s="272">
        <f t="shared" si="16"/>
        <v>0.02401512174</v>
      </c>
      <c r="H82" s="271">
        <f t="shared" ref="H82:J82" si="17">B82+E82</f>
        <v>0.2895358671</v>
      </c>
      <c r="I82" s="271">
        <f t="shared" si="17"/>
        <v>0.3619198339</v>
      </c>
      <c r="J82" s="272">
        <f t="shared" si="17"/>
        <v>0.3981118173</v>
      </c>
      <c r="K82" s="217" t="s">
        <v>599</v>
      </c>
      <c r="N82" s="273"/>
    </row>
    <row r="83">
      <c r="A83" s="748" t="s">
        <v>584</v>
      </c>
      <c r="B83" s="262">
        <f t="shared" si="18"/>
        <v>0.2854398731</v>
      </c>
      <c r="C83" s="275">
        <f>D46*propHomesGasHeating</f>
        <v>0.3567998414</v>
      </c>
      <c r="D83" s="263">
        <f t="shared" si="14"/>
        <v>0.3924798256</v>
      </c>
      <c r="E83" s="262">
        <f t="shared" si="15"/>
        <v>0.01832380073</v>
      </c>
      <c r="F83" s="275">
        <f>D46*propHomesOilHeating</f>
        <v>0.02290475091</v>
      </c>
      <c r="G83" s="263">
        <f t="shared" si="16"/>
        <v>0.025195226</v>
      </c>
      <c r="H83" s="275">
        <f t="shared" ref="H83:J83" si="19">B83+E83</f>
        <v>0.3037636739</v>
      </c>
      <c r="I83" s="275">
        <f t="shared" si="19"/>
        <v>0.3797045923</v>
      </c>
      <c r="J83" s="263">
        <f t="shared" si="19"/>
        <v>0.4176750516</v>
      </c>
      <c r="K83" s="217" t="s">
        <v>599</v>
      </c>
      <c r="N83" s="273"/>
    </row>
    <row r="84">
      <c r="N84" s="273"/>
    </row>
    <row r="85">
      <c r="A85" s="234"/>
    </row>
    <row r="86">
      <c r="A86" s="109" t="s">
        <v>3</v>
      </c>
      <c r="B86" s="308" t="s">
        <v>10</v>
      </c>
      <c r="C86" s="178"/>
      <c r="D86" s="178"/>
      <c r="E86" s="178"/>
      <c r="F86" s="178"/>
      <c r="G86" s="178"/>
      <c r="H86" s="178"/>
      <c r="I86" s="178"/>
      <c r="J86" s="179"/>
      <c r="K86" s="308" t="s">
        <v>137</v>
      </c>
      <c r="L86" s="178"/>
      <c r="M86" s="178"/>
      <c r="N86" s="178"/>
      <c r="O86" s="178"/>
      <c r="P86" s="178"/>
      <c r="Q86" s="178"/>
      <c r="R86" s="178"/>
      <c r="S86" s="179"/>
      <c r="T86" s="320" t="s">
        <v>138</v>
      </c>
    </row>
    <row r="87">
      <c r="A87" s="261"/>
      <c r="B87" s="40" t="s">
        <v>21</v>
      </c>
      <c r="C87" s="41"/>
      <c r="D87" s="42"/>
      <c r="E87" s="40" t="s">
        <v>22</v>
      </c>
      <c r="F87" s="41"/>
      <c r="G87" s="42"/>
      <c r="H87" s="43" t="s">
        <v>23</v>
      </c>
      <c r="I87" s="44"/>
      <c r="J87" s="45"/>
      <c r="K87" s="40" t="s">
        <v>21</v>
      </c>
      <c r="L87" s="41"/>
      <c r="M87" s="42"/>
      <c r="N87" s="40" t="s">
        <v>22</v>
      </c>
      <c r="O87" s="41"/>
      <c r="P87" s="42"/>
      <c r="Q87" s="43" t="s">
        <v>23</v>
      </c>
      <c r="R87" s="44"/>
      <c r="S87" s="45"/>
      <c r="T87" s="321"/>
    </row>
    <row r="88">
      <c r="A88" s="113"/>
      <c r="B88" s="510" t="s">
        <v>24</v>
      </c>
      <c r="C88" s="54" t="s">
        <v>25</v>
      </c>
      <c r="D88" s="55" t="s">
        <v>26</v>
      </c>
      <c r="E88" s="510" t="s">
        <v>24</v>
      </c>
      <c r="F88" s="54" t="s">
        <v>25</v>
      </c>
      <c r="G88" s="55" t="s">
        <v>26</v>
      </c>
      <c r="H88" s="510" t="s">
        <v>24</v>
      </c>
      <c r="I88" s="54" t="s">
        <v>25</v>
      </c>
      <c r="J88" s="55" t="s">
        <v>26</v>
      </c>
      <c r="K88" s="510" t="s">
        <v>24</v>
      </c>
      <c r="L88" s="54" t="s">
        <v>25</v>
      </c>
      <c r="M88" s="55" t="s">
        <v>26</v>
      </c>
      <c r="N88" s="510" t="s">
        <v>24</v>
      </c>
      <c r="O88" s="54" t="s">
        <v>25</v>
      </c>
      <c r="P88" s="55" t="s">
        <v>26</v>
      </c>
      <c r="Q88" s="510" t="s">
        <v>24</v>
      </c>
      <c r="R88" s="54" t="s">
        <v>25</v>
      </c>
      <c r="S88" s="55" t="s">
        <v>26</v>
      </c>
      <c r="T88" s="321"/>
    </row>
    <row r="89">
      <c r="A89" s="241" t="str">
        <f t="shared" ref="A89:G89" si="20">A69</f>
        <v>Modern cavity wall</v>
      </c>
      <c r="B89" s="533">
        <f t="shared" si="20"/>
        <v>6.472671312</v>
      </c>
      <c r="C89" s="522">
        <f t="shared" si="20"/>
        <v>27.32905665</v>
      </c>
      <c r="D89" s="523">
        <f t="shared" si="20"/>
        <v>57.08896097</v>
      </c>
      <c r="E89" s="533">
        <f t="shared" si="20"/>
        <v>10.83093319</v>
      </c>
      <c r="F89" s="522">
        <f t="shared" si="20"/>
        <v>45.73060679</v>
      </c>
      <c r="G89" s="523">
        <f t="shared" si="20"/>
        <v>95.5288307</v>
      </c>
      <c r="H89" s="533" t="str">
        <f t="shared" ref="H89:J89" si="21">H56</f>
        <v/>
      </c>
      <c r="I89" s="522" t="str">
        <f t="shared" si="21"/>
        <v/>
      </c>
      <c r="J89" s="523" t="str">
        <f t="shared" si="21"/>
        <v/>
      </c>
      <c r="K89" s="533">
        <f>B81*numberDwellingsUK/1000</f>
        <v>3514.671092</v>
      </c>
      <c r="L89" s="522">
        <f>C81*numberDwellingsUK/1000</f>
        <v>3905.190102</v>
      </c>
      <c r="M89" s="523">
        <f>D81*numberDwellingsUK/1000</f>
        <v>4295.709113</v>
      </c>
      <c r="N89" s="533">
        <f>E81*numberDwellingsUK/1000</f>
        <v>200.5548123</v>
      </c>
      <c r="O89" s="522">
        <f>F81*numberDwellingsUK/1000</f>
        <v>250.6935154</v>
      </c>
      <c r="P89" s="523">
        <f>G81*numberDwellingsUK/1000</f>
        <v>275.7628669</v>
      </c>
      <c r="Q89" s="533">
        <f>H69*numberDwellingsUK/1000</f>
        <v>0</v>
      </c>
      <c r="R89" s="522">
        <f>I69*numberDwellingsUK/1000</f>
        <v>0</v>
      </c>
      <c r="S89" s="523">
        <f>J69*numberDwellingsUK/1000</f>
        <v>0</v>
      </c>
      <c r="T89" s="140" t="s">
        <v>33</v>
      </c>
    </row>
    <row r="90">
      <c r="A90" s="241" t="str">
        <f t="shared" ref="A90:G90" si="22">A70</f>
        <v>retrofit filled cavity</v>
      </c>
      <c r="B90" s="533">
        <f t="shared" si="22"/>
        <v>11.43081186</v>
      </c>
      <c r="C90" s="522">
        <f t="shared" si="22"/>
        <v>48.26342786</v>
      </c>
      <c r="D90" s="523">
        <f t="shared" si="22"/>
        <v>100.8197606</v>
      </c>
      <c r="E90" s="533">
        <f t="shared" si="22"/>
        <v>19.12755238</v>
      </c>
      <c r="F90" s="522">
        <f t="shared" si="22"/>
        <v>80.7607767</v>
      </c>
      <c r="G90" s="523">
        <f t="shared" si="22"/>
        <v>168.705012</v>
      </c>
      <c r="H90" s="533" t="str">
        <f t="shared" ref="H90:J90" si="23">H57</f>
        <v/>
      </c>
      <c r="I90" s="522" t="str">
        <f t="shared" si="23"/>
        <v/>
      </c>
      <c r="J90" s="523" t="str">
        <f t="shared" si="23"/>
        <v/>
      </c>
      <c r="K90" s="533">
        <f>B82*numberDwellingsUK/1000</f>
        <v>7659.818658</v>
      </c>
      <c r="L90" s="522">
        <f>C82*numberDwellingsUK/1000</f>
        <v>9574.773323</v>
      </c>
      <c r="M90" s="523">
        <f>D82*numberDwellingsUK/1000</f>
        <v>10532.25066</v>
      </c>
      <c r="N90" s="533">
        <f>E82*numberDwellingsUK/1000</f>
        <v>491.7217386</v>
      </c>
      <c r="O90" s="522">
        <f>F82*numberDwellingsUK/1000</f>
        <v>614.6521733</v>
      </c>
      <c r="P90" s="523">
        <f>G82*numberDwellingsUK/1000</f>
        <v>676.1173906</v>
      </c>
      <c r="Q90" s="533">
        <f>H70*numberDwellingsUK/1000</f>
        <v>0</v>
      </c>
      <c r="R90" s="522">
        <f>I70*numberDwellingsUK/1000</f>
        <v>0</v>
      </c>
      <c r="S90" s="523">
        <f>J70*numberDwellingsUK/1000</f>
        <v>0</v>
      </c>
      <c r="T90" s="140" t="s">
        <v>33</v>
      </c>
    </row>
    <row r="91">
      <c r="A91" s="241" t="str">
        <f t="shared" ref="A91:G91" si="24">A71</f>
        <v>Solid or unfilled cavity</v>
      </c>
      <c r="B91" s="538">
        <f t="shared" si="24"/>
        <v>23.53947322</v>
      </c>
      <c r="C91" s="525">
        <f t="shared" si="24"/>
        <v>99.38888693</v>
      </c>
      <c r="D91" s="526">
        <f t="shared" si="24"/>
        <v>207.6181538</v>
      </c>
      <c r="E91" s="538">
        <f t="shared" si="24"/>
        <v>39.38937255</v>
      </c>
      <c r="F91" s="525">
        <f t="shared" si="24"/>
        <v>166.3106841</v>
      </c>
      <c r="G91" s="526">
        <f t="shared" si="24"/>
        <v>347.4142658</v>
      </c>
      <c r="H91" s="538" t="str">
        <f t="shared" ref="H91:J91" si="25">H58</f>
        <v/>
      </c>
      <c r="I91" s="525" t="str">
        <f t="shared" si="25"/>
        <v/>
      </c>
      <c r="J91" s="526" t="str">
        <f t="shared" si="25"/>
        <v/>
      </c>
      <c r="K91" s="538">
        <f>B83*numberDwellingsUK/1000</f>
        <v>8036.222524</v>
      </c>
      <c r="L91" s="525">
        <f>C83*numberDwellingsUK/1000</f>
        <v>10045.27815</v>
      </c>
      <c r="M91" s="526">
        <f>D83*numberDwellingsUK/1000</f>
        <v>11049.80597</v>
      </c>
      <c r="N91" s="538">
        <f>E83*numberDwellingsUK/1000</f>
        <v>515.884969</v>
      </c>
      <c r="O91" s="525">
        <f>F83*numberDwellingsUK/1000</f>
        <v>644.8562113</v>
      </c>
      <c r="P91" s="526">
        <f>G83*numberDwellingsUK/1000</f>
        <v>709.3418324</v>
      </c>
      <c r="Q91" s="538">
        <f>H71*numberDwellingsUK/1000</f>
        <v>0</v>
      </c>
      <c r="R91" s="525">
        <f>I71*numberDwellingsUK/1000</f>
        <v>0</v>
      </c>
      <c r="S91" s="526">
        <f>J71*numberDwellingsUK/1000</f>
        <v>0</v>
      </c>
      <c r="T91" s="297" t="s">
        <v>33</v>
      </c>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8">
    <mergeCell ref="I67:I68"/>
    <mergeCell ref="J67:J68"/>
    <mergeCell ref="M67:M68"/>
    <mergeCell ref="I73:I74"/>
    <mergeCell ref="J73:J74"/>
    <mergeCell ref="M73:M74"/>
    <mergeCell ref="B86:J86"/>
    <mergeCell ref="K86:S86"/>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1.0"/>
    <col customWidth="1" min="2" max="2" width="11.0"/>
    <col customWidth="1" min="3" max="8" width="10.44"/>
    <col customWidth="1" min="9" max="9" width="12.0"/>
    <col customWidth="1" min="10" max="10" width="14.44"/>
    <col customWidth="1" min="11" max="11" width="16.33"/>
    <col customWidth="1" min="12" max="12" width="12.0"/>
    <col customWidth="1" min="13" max="26" width="10.44"/>
  </cols>
  <sheetData>
    <row r="1">
      <c r="A1" s="68" t="s">
        <v>600</v>
      </c>
      <c r="B1" s="18"/>
      <c r="C1" s="18"/>
      <c r="D1" s="18"/>
    </row>
    <row r="2">
      <c r="A2" s="68" t="s">
        <v>601</v>
      </c>
      <c r="B2" s="18"/>
      <c r="C2" s="18"/>
      <c r="D2" s="18"/>
    </row>
    <row r="3" ht="147.75" customHeight="1">
      <c r="A3" s="234" t="s">
        <v>602</v>
      </c>
    </row>
    <row r="4" ht="63.75" customHeight="1">
      <c r="A4" s="234" t="s">
        <v>603</v>
      </c>
    </row>
    <row r="5">
      <c r="A5" s="234" t="s">
        <v>604</v>
      </c>
    </row>
    <row r="6">
      <c r="A6" s="234" t="s">
        <v>605</v>
      </c>
    </row>
    <row r="7">
      <c r="A7" s="234" t="s">
        <v>606</v>
      </c>
    </row>
    <row r="8">
      <c r="A8" s="234" t="s">
        <v>607</v>
      </c>
    </row>
    <row r="9">
      <c r="A9" s="234"/>
    </row>
    <row r="10">
      <c r="A10" s="234" t="s">
        <v>608</v>
      </c>
    </row>
    <row r="11">
      <c r="A11" s="774"/>
      <c r="B11" s="775"/>
      <c r="C11" s="776" t="s">
        <v>609</v>
      </c>
      <c r="D11" s="776" t="s">
        <v>610</v>
      </c>
      <c r="E11" s="776" t="s">
        <v>611</v>
      </c>
      <c r="F11" s="776" t="s">
        <v>612</v>
      </c>
      <c r="G11" s="776" t="s">
        <v>613</v>
      </c>
      <c r="H11" s="777" t="s">
        <v>614</v>
      </c>
      <c r="I11" s="234"/>
      <c r="J11" s="234"/>
      <c r="K11" s="234"/>
      <c r="L11" s="234"/>
      <c r="M11" s="234"/>
      <c r="N11" s="234"/>
      <c r="O11" s="234"/>
      <c r="P11" s="234"/>
      <c r="Q11" s="234"/>
      <c r="R11" s="234"/>
      <c r="S11" s="234"/>
      <c r="T11" s="234"/>
      <c r="U11" s="234"/>
      <c r="V11" s="234"/>
      <c r="W11" s="234"/>
      <c r="X11" s="234"/>
      <c r="Y11" s="234"/>
      <c r="Z11" s="234"/>
    </row>
    <row r="12">
      <c r="A12" s="778" t="s">
        <v>615</v>
      </c>
      <c r="B12" s="779" t="s">
        <v>21</v>
      </c>
      <c r="C12" s="780">
        <v>0.0</v>
      </c>
      <c r="D12" s="780">
        <v>0.005</v>
      </c>
      <c r="E12" s="780">
        <v>0.014</v>
      </c>
      <c r="F12" s="779"/>
      <c r="G12" s="779"/>
      <c r="H12" s="781" t="s">
        <v>168</v>
      </c>
      <c r="I12" s="217" t="s">
        <v>616</v>
      </c>
    </row>
    <row r="13">
      <c r="A13" s="778" t="s">
        <v>615</v>
      </c>
      <c r="B13" s="779" t="s">
        <v>22</v>
      </c>
      <c r="C13" s="780">
        <v>0.0</v>
      </c>
      <c r="D13" s="780"/>
      <c r="E13" s="780">
        <v>0.011</v>
      </c>
      <c r="F13" s="779"/>
      <c r="G13" s="779"/>
      <c r="H13" s="781" t="s">
        <v>168</v>
      </c>
      <c r="I13" s="217" t="s">
        <v>617</v>
      </c>
    </row>
    <row r="14">
      <c r="A14" s="778" t="s">
        <v>618</v>
      </c>
      <c r="B14" s="779" t="s">
        <v>21</v>
      </c>
      <c r="C14" s="780">
        <v>0.1</v>
      </c>
      <c r="D14" s="780">
        <v>0.12</v>
      </c>
      <c r="E14" s="780" t="s">
        <v>33</v>
      </c>
      <c r="F14" s="779"/>
      <c r="G14" s="779"/>
      <c r="H14" s="781" t="s">
        <v>619</v>
      </c>
      <c r="I14" s="217" t="s">
        <v>620</v>
      </c>
    </row>
    <row r="15">
      <c r="A15" s="778" t="s">
        <v>621</v>
      </c>
      <c r="B15" s="779" t="s">
        <v>21</v>
      </c>
      <c r="C15" s="780">
        <v>0.04</v>
      </c>
      <c r="D15" s="780">
        <v>0.08</v>
      </c>
      <c r="E15" s="780">
        <v>0.05</v>
      </c>
      <c r="F15" s="779"/>
      <c r="G15" s="779"/>
      <c r="H15" s="781" t="s">
        <v>619</v>
      </c>
    </row>
    <row r="16">
      <c r="A16" s="778" t="s">
        <v>622</v>
      </c>
      <c r="B16" s="779" t="s">
        <v>21</v>
      </c>
      <c r="C16" s="780">
        <v>0.01</v>
      </c>
      <c r="D16" s="780">
        <v>0.02</v>
      </c>
      <c r="E16" s="780">
        <v>0.03</v>
      </c>
      <c r="F16" s="779"/>
      <c r="G16" s="779"/>
      <c r="H16" s="781" t="s">
        <v>623</v>
      </c>
      <c r="I16" s="217" t="s">
        <v>624</v>
      </c>
    </row>
    <row r="17">
      <c r="A17" s="381" t="s">
        <v>625</v>
      </c>
      <c r="B17" s="782" t="s">
        <v>21</v>
      </c>
      <c r="C17" s="783"/>
      <c r="D17" s="783"/>
      <c r="E17" s="783"/>
      <c r="F17" s="783" t="s">
        <v>626</v>
      </c>
      <c r="G17" s="783" t="s">
        <v>627</v>
      </c>
      <c r="H17" s="784" t="s">
        <v>628</v>
      </c>
    </row>
    <row r="18">
      <c r="A18" s="234"/>
    </row>
    <row r="19">
      <c r="A19" s="234"/>
    </row>
    <row r="20">
      <c r="A20" s="278" t="s">
        <v>629</v>
      </c>
      <c r="B20" s="454" t="s">
        <v>24</v>
      </c>
      <c r="C20" s="268" t="s">
        <v>25</v>
      </c>
      <c r="D20" s="269" t="s">
        <v>26</v>
      </c>
    </row>
    <row r="21" ht="20.25" customHeight="1">
      <c r="A21" s="442" t="s">
        <v>630</v>
      </c>
      <c r="B21" s="563">
        <v>0.03</v>
      </c>
      <c r="C21" s="564">
        <v>0.065</v>
      </c>
      <c r="D21" s="565">
        <v>0.1</v>
      </c>
      <c r="E21" s="217" t="s">
        <v>631</v>
      </c>
      <c r="F21" s="302"/>
    </row>
    <row r="22">
      <c r="A22" s="519" t="s">
        <v>632</v>
      </c>
      <c r="B22" s="563">
        <v>0.005</v>
      </c>
      <c r="C22" s="564">
        <v>0.05</v>
      </c>
      <c r="D22" s="565">
        <v>0.08</v>
      </c>
      <c r="E22" s="217" t="s">
        <v>633</v>
      </c>
    </row>
    <row r="23">
      <c r="A23" s="524" t="s">
        <v>634</v>
      </c>
      <c r="B23" s="567">
        <v>0.014</v>
      </c>
      <c r="C23" s="568">
        <v>0.03</v>
      </c>
      <c r="D23" s="569">
        <v>0.05</v>
      </c>
      <c r="E23" s="217" t="s">
        <v>633</v>
      </c>
    </row>
    <row r="24">
      <c r="A24" s="234"/>
    </row>
    <row r="25">
      <c r="A25" s="278" t="s">
        <v>115</v>
      </c>
      <c r="B25" s="278" t="s">
        <v>116</v>
      </c>
      <c r="C25" s="20"/>
      <c r="D25" s="21"/>
      <c r="E25" s="785" t="s">
        <v>117</v>
      </c>
      <c r="F25" s="20"/>
      <c r="G25" s="21"/>
      <c r="H25" s="70"/>
    </row>
    <row r="26">
      <c r="A26" s="530"/>
      <c r="B26" s="237" t="s">
        <v>24</v>
      </c>
      <c r="C26" s="238" t="s">
        <v>25</v>
      </c>
      <c r="D26" s="239" t="s">
        <v>26</v>
      </c>
      <c r="E26" s="240" t="s">
        <v>24</v>
      </c>
      <c r="F26" s="238" t="s">
        <v>25</v>
      </c>
      <c r="G26" s="239" t="s">
        <v>26</v>
      </c>
    </row>
    <row r="27">
      <c r="A27" s="439" t="s">
        <v>630</v>
      </c>
      <c r="B27" s="133">
        <f>B21*MeanDomesticGasBill*gasBillPropSpace</f>
        <v>287.0071611</v>
      </c>
      <c r="C27" s="134">
        <f>C21*MeanDomesticGasBill*gasBillPropSpace</f>
        <v>621.848849</v>
      </c>
      <c r="D27" s="135">
        <f>D21*MeanDomesticGasBill*gasBillPropSpace</f>
        <v>956.690537</v>
      </c>
      <c r="E27" s="786">
        <f>ROUND(B27*gasPriceP/100,0)</f>
        <v>20</v>
      </c>
      <c r="F27" s="786">
        <f>ROUND(C27*gasPriceP/100,0)</f>
        <v>43</v>
      </c>
      <c r="G27" s="787">
        <f>ROUND(D27*gasPriceP/100,0)</f>
        <v>66</v>
      </c>
      <c r="H27" s="462"/>
    </row>
    <row r="28">
      <c r="A28" s="519" t="s">
        <v>632</v>
      </c>
      <c r="B28" s="85">
        <f>B22*MeanDomesticGasBill*gasBillPropSpace</f>
        <v>47.83452685</v>
      </c>
      <c r="C28" s="86">
        <f>C22*MeanDomesticGasBill*gasBillPropSpace</f>
        <v>478.3452685</v>
      </c>
      <c r="D28" s="87">
        <f>D22*MeanDomesticGasBill*gasBillPropSpace</f>
        <v>765.3524296</v>
      </c>
      <c r="E28" s="535">
        <f>ROUND(B28*gasPriceP/100,0)</f>
        <v>3</v>
      </c>
      <c r="F28" s="535">
        <f>ROUND(C28*gasPriceP/100,0)</f>
        <v>33</v>
      </c>
      <c r="G28" s="536">
        <f>ROUND(D28*gasPriceP/100,0)</f>
        <v>53</v>
      </c>
      <c r="H28" s="462"/>
    </row>
    <row r="29">
      <c r="A29" s="524" t="s">
        <v>634</v>
      </c>
      <c r="B29" s="116">
        <f>B23*MeanDomesticGasBill*gasBillPropSpace</f>
        <v>133.9366752</v>
      </c>
      <c r="C29" s="117">
        <f>C23*MeanDomesticGasBill*gasBillPropSpace</f>
        <v>287.0071611</v>
      </c>
      <c r="D29" s="118">
        <f>D23*MeanDomesticGasBill*gasBillPropSpace</f>
        <v>478.3452685</v>
      </c>
      <c r="E29" s="540">
        <f>ROUND(B29*gasPriceP/100,0)</f>
        <v>9</v>
      </c>
      <c r="F29" s="540">
        <f>ROUND(C29*gasPriceP/100,0)</f>
        <v>20</v>
      </c>
      <c r="G29" s="541">
        <f>ROUND(D29*gasPriceP/100,0)</f>
        <v>33</v>
      </c>
      <c r="H29" s="462"/>
    </row>
    <row r="30">
      <c r="A30" s="234"/>
      <c r="F30" s="788"/>
      <c r="G30" s="788"/>
      <c r="H30" s="462"/>
    </row>
    <row r="31" ht="115.5" customHeight="1">
      <c r="A31" s="234" t="s">
        <v>635</v>
      </c>
      <c r="F31" s="788"/>
      <c r="G31" s="788"/>
      <c r="H31" s="788"/>
      <c r="I31" s="462"/>
    </row>
    <row r="32">
      <c r="A32" s="759" t="s">
        <v>241</v>
      </c>
      <c r="B32" s="185"/>
      <c r="F32" s="788"/>
      <c r="G32" s="788"/>
      <c r="H32" s="788"/>
      <c r="I32" s="462"/>
    </row>
    <row r="33">
      <c r="A33" s="789"/>
      <c r="B33" s="454" t="s">
        <v>24</v>
      </c>
      <c r="C33" s="268" t="s">
        <v>25</v>
      </c>
      <c r="D33" s="269" t="s">
        <v>26</v>
      </c>
    </row>
    <row r="34">
      <c r="A34" s="519" t="s">
        <v>636</v>
      </c>
      <c r="B34" s="299">
        <v>0.6</v>
      </c>
      <c r="C34" s="300">
        <v>0.75</v>
      </c>
      <c r="D34" s="301">
        <v>0.85</v>
      </c>
      <c r="E34" s="217" t="s">
        <v>637</v>
      </c>
    </row>
    <row r="35">
      <c r="A35" s="519" t="s">
        <v>638</v>
      </c>
      <c r="B35" s="299">
        <v>0.01</v>
      </c>
      <c r="C35" s="300">
        <v>0.03</v>
      </c>
      <c r="D35" s="301">
        <v>0.05</v>
      </c>
      <c r="E35" s="30" t="s">
        <v>124</v>
      </c>
    </row>
    <row r="36">
      <c r="A36" s="519" t="s">
        <v>639</v>
      </c>
      <c r="B36" s="458">
        <f t="shared" ref="B36:D36" si="1">B34-B35</f>
        <v>0.59</v>
      </c>
      <c r="C36" s="459">
        <f t="shared" si="1"/>
        <v>0.72</v>
      </c>
      <c r="D36" s="460">
        <f t="shared" si="1"/>
        <v>0.8</v>
      </c>
    </row>
    <row r="37">
      <c r="A37" s="519"/>
      <c r="B37" s="458"/>
      <c r="C37" s="459"/>
      <c r="D37" s="460"/>
    </row>
    <row r="38">
      <c r="A38" s="790" t="s">
        <v>640</v>
      </c>
      <c r="B38" s="791">
        <f>(B36)*(propHomesGasHeating)</f>
        <v>0.4930021228</v>
      </c>
      <c r="C38" s="792">
        <f>(C36)*(propHomesGasHeating)</f>
        <v>0.6016297092</v>
      </c>
      <c r="D38" s="793">
        <f>(D36)*(propHomesGasHeating)</f>
        <v>0.6684774547</v>
      </c>
      <c r="E38" s="302"/>
    </row>
    <row r="39">
      <c r="A39" s="234"/>
    </row>
    <row r="40">
      <c r="A40" s="234"/>
    </row>
    <row r="41">
      <c r="A41" s="278" t="s">
        <v>3</v>
      </c>
      <c r="B41" s="308" t="s">
        <v>10</v>
      </c>
      <c r="C41" s="178"/>
      <c r="D41" s="178"/>
      <c r="E41" s="178"/>
      <c r="F41" s="178"/>
      <c r="G41" s="178"/>
      <c r="H41" s="178"/>
      <c r="I41" s="178"/>
      <c r="J41" s="179"/>
      <c r="K41" s="308" t="s">
        <v>137</v>
      </c>
      <c r="L41" s="178"/>
      <c r="M41" s="178"/>
      <c r="N41" s="178"/>
      <c r="O41" s="178"/>
      <c r="P41" s="178"/>
      <c r="Q41" s="178"/>
      <c r="R41" s="178"/>
      <c r="S41" s="179"/>
      <c r="T41" s="258" t="s">
        <v>138</v>
      </c>
    </row>
    <row r="42">
      <c r="A42" s="442"/>
      <c r="B42" s="510" t="s">
        <v>21</v>
      </c>
      <c r="C42" s="141"/>
      <c r="D42" s="141"/>
      <c r="E42" s="141" t="s">
        <v>22</v>
      </c>
      <c r="F42" s="141"/>
      <c r="G42" s="141"/>
      <c r="H42" s="511" t="s">
        <v>23</v>
      </c>
      <c r="I42" s="511"/>
      <c r="J42" s="512"/>
      <c r="K42" s="510" t="s">
        <v>21</v>
      </c>
      <c r="L42" s="141"/>
      <c r="M42" s="141"/>
      <c r="N42" s="141" t="s">
        <v>22</v>
      </c>
      <c r="O42" s="141"/>
      <c r="P42" s="141"/>
      <c r="Q42" s="511" t="s">
        <v>23</v>
      </c>
      <c r="R42" s="511"/>
      <c r="S42" s="512"/>
      <c r="T42" s="532"/>
    </row>
    <row r="43">
      <c r="A43" s="794"/>
      <c r="B43" s="510" t="s">
        <v>24</v>
      </c>
      <c r="C43" s="54" t="s">
        <v>25</v>
      </c>
      <c r="D43" s="54" t="s">
        <v>26</v>
      </c>
      <c r="E43" s="141" t="s">
        <v>24</v>
      </c>
      <c r="F43" s="54" t="s">
        <v>25</v>
      </c>
      <c r="G43" s="54" t="s">
        <v>26</v>
      </c>
      <c r="H43" s="141" t="s">
        <v>24</v>
      </c>
      <c r="I43" s="54" t="s">
        <v>25</v>
      </c>
      <c r="J43" s="55" t="s">
        <v>26</v>
      </c>
      <c r="K43" s="510" t="s">
        <v>24</v>
      </c>
      <c r="L43" s="54" t="s">
        <v>25</v>
      </c>
      <c r="M43" s="54" t="s">
        <v>26</v>
      </c>
      <c r="N43" s="141" t="s">
        <v>24</v>
      </c>
      <c r="O43" s="54" t="s">
        <v>25</v>
      </c>
      <c r="P43" s="54" t="s">
        <v>26</v>
      </c>
      <c r="Q43" s="141" t="s">
        <v>24</v>
      </c>
      <c r="R43" s="54" t="s">
        <v>25</v>
      </c>
      <c r="S43" s="55" t="s">
        <v>26</v>
      </c>
      <c r="T43" s="532"/>
    </row>
    <row r="44">
      <c r="A44" s="519" t="s">
        <v>44</v>
      </c>
      <c r="B44" s="795">
        <f t="shared" ref="B44:D44" si="2">B28</f>
        <v>47.83452685</v>
      </c>
      <c r="C44" s="517">
        <f t="shared" si="2"/>
        <v>478.3452685</v>
      </c>
      <c r="D44" s="517">
        <f t="shared" si="2"/>
        <v>765.3524296</v>
      </c>
      <c r="E44" s="517">
        <v>0.0</v>
      </c>
      <c r="F44" s="517">
        <v>0.0</v>
      </c>
      <c r="G44" s="517">
        <v>0.0</v>
      </c>
      <c r="H44" s="517">
        <v>0.0</v>
      </c>
      <c r="I44" s="517">
        <v>0.0</v>
      </c>
      <c r="J44" s="796">
        <v>0.0</v>
      </c>
      <c r="K44" s="795">
        <f>B38*numberDwellingsUK/1000</f>
        <v>13879.89253</v>
      </c>
      <c r="L44" s="517">
        <f>C38*numberDwellingsUK/1000</f>
        <v>16938.17394</v>
      </c>
      <c r="M44" s="517">
        <f>D38*numberDwellingsUK/1000</f>
        <v>18820.19326</v>
      </c>
      <c r="N44" s="517">
        <v>0.0</v>
      </c>
      <c r="O44" s="517">
        <v>0.0</v>
      </c>
      <c r="P44" s="517">
        <v>0.0</v>
      </c>
      <c r="Q44" s="517">
        <v>0.0</v>
      </c>
      <c r="R44" s="517">
        <v>0.0</v>
      </c>
      <c r="S44" s="796">
        <v>0.0</v>
      </c>
      <c r="T44" s="147" t="s">
        <v>33</v>
      </c>
    </row>
    <row r="45">
      <c r="A45" s="519" t="s">
        <v>45</v>
      </c>
      <c r="B45" s="795">
        <f t="shared" ref="B45:D45" si="3">B29</f>
        <v>133.9366752</v>
      </c>
      <c r="C45" s="517">
        <f t="shared" si="3"/>
        <v>287.0071611</v>
      </c>
      <c r="D45" s="517">
        <f t="shared" si="3"/>
        <v>478.3452685</v>
      </c>
      <c r="E45" s="517">
        <v>0.0</v>
      </c>
      <c r="F45" s="517">
        <v>0.0</v>
      </c>
      <c r="G45" s="517">
        <v>0.0</v>
      </c>
      <c r="H45" s="517">
        <v>0.0</v>
      </c>
      <c r="I45" s="517">
        <v>0.0</v>
      </c>
      <c r="J45" s="796">
        <v>0.0</v>
      </c>
      <c r="K45" s="795">
        <f t="shared" ref="K45:M45" si="4">K44</f>
        <v>13879.89253</v>
      </c>
      <c r="L45" s="517">
        <f t="shared" si="4"/>
        <v>16938.17394</v>
      </c>
      <c r="M45" s="517">
        <f t="shared" si="4"/>
        <v>18820.19326</v>
      </c>
      <c r="N45" s="517">
        <v>0.0</v>
      </c>
      <c r="O45" s="517">
        <v>0.0</v>
      </c>
      <c r="P45" s="517">
        <v>0.0</v>
      </c>
      <c r="Q45" s="517">
        <v>0.0</v>
      </c>
      <c r="R45" s="517">
        <v>0.0</v>
      </c>
      <c r="S45" s="796">
        <v>0.0</v>
      </c>
      <c r="T45" s="147" t="s">
        <v>33</v>
      </c>
    </row>
    <row r="46">
      <c r="A46" s="797" t="s">
        <v>46</v>
      </c>
      <c r="B46" s="798">
        <f t="shared" ref="B46:D46" si="5">B27</f>
        <v>287.0071611</v>
      </c>
      <c r="C46" s="799">
        <f t="shared" si="5"/>
        <v>621.848849</v>
      </c>
      <c r="D46" s="799">
        <f t="shared" si="5"/>
        <v>956.690537</v>
      </c>
      <c r="E46" s="799">
        <v>0.0</v>
      </c>
      <c r="F46" s="799">
        <v>0.0</v>
      </c>
      <c r="G46" s="799">
        <v>0.0</v>
      </c>
      <c r="H46" s="799">
        <v>0.0</v>
      </c>
      <c r="I46" s="799">
        <v>0.0</v>
      </c>
      <c r="J46" s="800">
        <v>0.0</v>
      </c>
      <c r="K46" s="798">
        <f t="shared" ref="K46:M46" si="6">K45</f>
        <v>13879.89253</v>
      </c>
      <c r="L46" s="799">
        <f t="shared" si="6"/>
        <v>16938.17394</v>
      </c>
      <c r="M46" s="799">
        <f t="shared" si="6"/>
        <v>18820.19326</v>
      </c>
      <c r="N46" s="799">
        <v>0.0</v>
      </c>
      <c r="O46" s="799">
        <v>0.0</v>
      </c>
      <c r="P46" s="799">
        <v>0.0</v>
      </c>
      <c r="Q46" s="799">
        <v>0.0</v>
      </c>
      <c r="R46" s="799">
        <v>0.0</v>
      </c>
      <c r="S46" s="800">
        <v>0.0</v>
      </c>
      <c r="T46" s="220" t="s">
        <v>501</v>
      </c>
    </row>
    <row r="47">
      <c r="A47" s="234"/>
    </row>
    <row r="48">
      <c r="A48" s="234"/>
    </row>
    <row r="49">
      <c r="A49" s="234"/>
    </row>
    <row r="50">
      <c r="A50" s="234"/>
    </row>
    <row r="51">
      <c r="A51" s="234"/>
    </row>
    <row r="52">
      <c r="A52" s="234"/>
    </row>
    <row r="53">
      <c r="A53" s="234"/>
    </row>
    <row r="54">
      <c r="A54" s="234"/>
    </row>
    <row r="55">
      <c r="A55" s="234"/>
    </row>
    <row r="56">
      <c r="A56" s="234"/>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3">
    <mergeCell ref="H25:H26"/>
    <mergeCell ref="B41:J41"/>
    <mergeCell ref="K41:S41"/>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1.0"/>
    <col customWidth="1" min="2" max="2" width="24.44"/>
    <col customWidth="1" min="3" max="3" width="10.44"/>
    <col customWidth="1" min="4" max="4" width="20.33"/>
    <col customWidth="1" min="5" max="19" width="10.44"/>
    <col customWidth="1" min="20" max="20" width="20.0"/>
    <col customWidth="1" min="21" max="26" width="10.44"/>
  </cols>
  <sheetData>
    <row r="1">
      <c r="A1" s="68" t="s">
        <v>641</v>
      </c>
      <c r="B1" s="18"/>
      <c r="C1" s="18"/>
      <c r="D1" s="18"/>
      <c r="E1" s="18"/>
    </row>
    <row r="2">
      <c r="A2" s="68" t="s">
        <v>642</v>
      </c>
      <c r="B2" s="18"/>
      <c r="C2" s="18"/>
      <c r="D2" s="18"/>
      <c r="E2" s="18"/>
    </row>
    <row r="3">
      <c r="A3" s="234"/>
    </row>
    <row r="4">
      <c r="A4" s="234" t="s">
        <v>643</v>
      </c>
    </row>
    <row r="5" ht="143.25" customHeight="1">
      <c r="A5" s="234" t="s">
        <v>644</v>
      </c>
    </row>
    <row r="6">
      <c r="A6" s="234" t="s">
        <v>645</v>
      </c>
    </row>
    <row r="7" ht="108.75" customHeight="1">
      <c r="A7" s="234" t="s">
        <v>646</v>
      </c>
    </row>
    <row r="8">
      <c r="A8" s="234" t="s">
        <v>647</v>
      </c>
    </row>
    <row r="9">
      <c r="A9" s="234"/>
    </row>
    <row r="10">
      <c r="A10" s="234"/>
    </row>
    <row r="11">
      <c r="A11" s="801" t="s">
        <v>648</v>
      </c>
      <c r="B11" s="802" t="s">
        <v>649</v>
      </c>
      <c r="C11" s="802" t="s">
        <v>650</v>
      </c>
      <c r="D11" s="802" t="s">
        <v>24</v>
      </c>
      <c r="E11" s="803" t="s">
        <v>26</v>
      </c>
    </row>
    <row r="12">
      <c r="A12" s="804" t="s">
        <v>109</v>
      </c>
      <c r="B12" s="805" t="s">
        <v>21</v>
      </c>
      <c r="C12" s="806">
        <v>0.067</v>
      </c>
      <c r="D12" s="806">
        <v>0.026</v>
      </c>
      <c r="E12" s="807">
        <v>0.092</v>
      </c>
    </row>
    <row r="13">
      <c r="A13" s="519" t="s">
        <v>109</v>
      </c>
      <c r="B13" s="808" t="s">
        <v>22</v>
      </c>
      <c r="C13" s="564">
        <v>0.066</v>
      </c>
      <c r="D13" s="564">
        <v>0.025</v>
      </c>
      <c r="E13" s="565">
        <v>0.089</v>
      </c>
    </row>
    <row r="14">
      <c r="A14" s="519" t="s">
        <v>651</v>
      </c>
      <c r="B14" s="808" t="s">
        <v>21</v>
      </c>
      <c r="C14" s="300">
        <v>0.18</v>
      </c>
      <c r="D14" s="808"/>
      <c r="E14" s="809"/>
      <c r="F14" s="217" t="s">
        <v>652</v>
      </c>
    </row>
    <row r="15">
      <c r="A15" s="524" t="s">
        <v>653</v>
      </c>
      <c r="B15" s="545"/>
      <c r="C15" s="810">
        <f>C14*gasBillPropSpace</f>
        <v>0.1467604803</v>
      </c>
      <c r="D15" s="545"/>
      <c r="E15" s="537"/>
    </row>
    <row r="16">
      <c r="A16" s="234"/>
      <c r="C16" s="273"/>
      <c r="D16" s="30"/>
    </row>
    <row r="17">
      <c r="A17" s="811" t="s">
        <v>629</v>
      </c>
      <c r="B17" s="812"/>
      <c r="C17" s="802" t="s">
        <v>24</v>
      </c>
      <c r="D17" s="802" t="s">
        <v>25</v>
      </c>
      <c r="E17" s="803" t="s">
        <v>26</v>
      </c>
    </row>
    <row r="18" ht="50.25" customHeight="1">
      <c r="A18" s="442" t="s">
        <v>654</v>
      </c>
      <c r="B18" s="261"/>
      <c r="C18" s="564">
        <v>0.07</v>
      </c>
      <c r="D18" s="300">
        <f t="shared" ref="D18:D19" si="1">AVERAGE(E18,C18)</f>
        <v>0.1083802402</v>
      </c>
      <c r="E18" s="565">
        <f>C15</f>
        <v>0.1467604803</v>
      </c>
      <c r="F18" s="217" t="s">
        <v>655</v>
      </c>
      <c r="G18" s="302"/>
    </row>
    <row r="19">
      <c r="A19" s="524" t="s">
        <v>656</v>
      </c>
      <c r="B19" s="813"/>
      <c r="C19" s="595">
        <v>0.0</v>
      </c>
      <c r="D19" s="595">
        <f t="shared" si="1"/>
        <v>0.05419012008</v>
      </c>
      <c r="E19" s="596">
        <f>D18</f>
        <v>0.1083802402</v>
      </c>
      <c r="F19" s="30" t="s">
        <v>657</v>
      </c>
    </row>
    <row r="20">
      <c r="A20" s="234"/>
    </row>
    <row r="21">
      <c r="A21" s="278" t="s">
        <v>115</v>
      </c>
      <c r="B21" s="20"/>
      <c r="C21" s="278" t="s">
        <v>116</v>
      </c>
      <c r="D21" s="20"/>
      <c r="E21" s="21"/>
      <c r="F21" s="785" t="s">
        <v>117</v>
      </c>
      <c r="G21" s="20"/>
      <c r="H21" s="21"/>
    </row>
    <row r="22">
      <c r="A22" s="530"/>
      <c r="B22" s="18"/>
      <c r="C22" s="814" t="s">
        <v>24</v>
      </c>
      <c r="D22" s="815" t="s">
        <v>25</v>
      </c>
      <c r="E22" s="816" t="s">
        <v>26</v>
      </c>
      <c r="F22" s="240" t="s">
        <v>24</v>
      </c>
      <c r="G22" s="238" t="s">
        <v>25</v>
      </c>
      <c r="H22" s="239" t="s">
        <v>26</v>
      </c>
    </row>
    <row r="23">
      <c r="A23" s="439" t="s">
        <v>658</v>
      </c>
      <c r="B23" s="817" t="s">
        <v>21</v>
      </c>
      <c r="C23" s="818">
        <f>C18*MeanDomesticGasBill</f>
        <v>821.3587705</v>
      </c>
      <c r="D23" s="819">
        <f>D18*MeanDomesticGasBill</f>
        <v>1271.700869</v>
      </c>
      <c r="E23" s="820">
        <f>E18*MeanDomesticGasBill</f>
        <v>1722.042967</v>
      </c>
      <c r="F23" s="786">
        <f>ROUND(C23*gasPriceP/100,0)</f>
        <v>57</v>
      </c>
      <c r="G23" s="786">
        <f>ROUND(D23*gasPriceP/100,0)</f>
        <v>88</v>
      </c>
      <c r="H23" s="787">
        <f>ROUND(E23*gasPriceP/100,0)</f>
        <v>119</v>
      </c>
    </row>
    <row r="24">
      <c r="A24" s="524"/>
      <c r="B24" s="545" t="s">
        <v>22</v>
      </c>
      <c r="C24" s="554">
        <f>C18*MeanDomesticOilBill</f>
        <v>1374.406568</v>
      </c>
      <c r="D24" s="555">
        <f>D18*MeanDomesticOilBill</f>
        <v>2127.97877</v>
      </c>
      <c r="E24" s="556">
        <f>E18*MeanDomesticOilBill</f>
        <v>2881.550973</v>
      </c>
      <c r="F24" s="540">
        <f>ROUND(C24*oilPriceP/100,0)</f>
        <v>133</v>
      </c>
      <c r="G24" s="540">
        <f>ROUND(D24*oilPriceP/100,0)</f>
        <v>206</v>
      </c>
      <c r="H24" s="541">
        <f>ROUND(E24*oilPriceP/100,0)</f>
        <v>278</v>
      </c>
    </row>
    <row r="25">
      <c r="A25" s="519" t="s">
        <v>659</v>
      </c>
      <c r="B25" s="57" t="s">
        <v>21</v>
      </c>
      <c r="C25" s="684">
        <f>C19*MeanDomesticGasBill</f>
        <v>0</v>
      </c>
      <c r="D25" s="685">
        <f>D19*MeanDomesticGasBill</f>
        <v>635.8504343</v>
      </c>
      <c r="E25" s="686">
        <f>E19*MeanDomesticGasBill</f>
        <v>1271.700869</v>
      </c>
      <c r="F25" s="535">
        <f t="shared" ref="F25:H25" si="2">F23/2</f>
        <v>28.5</v>
      </c>
      <c r="G25" s="535">
        <f t="shared" si="2"/>
        <v>44</v>
      </c>
      <c r="H25" s="536">
        <f t="shared" si="2"/>
        <v>59.5</v>
      </c>
    </row>
    <row r="26">
      <c r="A26" s="524"/>
      <c r="B26" s="545" t="s">
        <v>22</v>
      </c>
      <c r="C26" s="554">
        <f>C19*MeanDomesticOilBill</f>
        <v>0</v>
      </c>
      <c r="D26" s="555">
        <f>D19*MeanDomesticOilBill</f>
        <v>1063.989385</v>
      </c>
      <c r="E26" s="556">
        <f>E19*MeanDomesticOilBill</f>
        <v>2127.97877</v>
      </c>
      <c r="F26" s="540">
        <f t="shared" ref="F26:H26" si="3">F24/2</f>
        <v>66.5</v>
      </c>
      <c r="G26" s="540">
        <f t="shared" si="3"/>
        <v>103</v>
      </c>
      <c r="H26" s="541">
        <f t="shared" si="3"/>
        <v>139</v>
      </c>
    </row>
    <row r="27">
      <c r="A27" s="241"/>
      <c r="B27" s="57"/>
      <c r="C27" s="685"/>
      <c r="D27" s="685"/>
      <c r="E27" s="685"/>
      <c r="F27" s="535"/>
      <c r="G27" s="535"/>
      <c r="H27" s="535"/>
    </row>
    <row r="28">
      <c r="A28" s="234" t="s">
        <v>660</v>
      </c>
    </row>
    <row r="29">
      <c r="A29" s="759" t="s">
        <v>241</v>
      </c>
      <c r="B29" s="185"/>
    </row>
    <row r="30">
      <c r="A30" s="789"/>
      <c r="B30" s="20"/>
      <c r="C30" s="268" t="s">
        <v>24</v>
      </c>
      <c r="D30" s="268" t="s">
        <v>25</v>
      </c>
      <c r="E30" s="269" t="s">
        <v>26</v>
      </c>
    </row>
    <row r="31">
      <c r="A31" s="519" t="s">
        <v>661</v>
      </c>
      <c r="B31" s="57" t="s">
        <v>662</v>
      </c>
      <c r="C31" s="459">
        <f>D31-0.02</f>
        <v>0.84</v>
      </c>
      <c r="D31" s="300">
        <v>0.86</v>
      </c>
      <c r="E31" s="460">
        <f>D31+0.02</f>
        <v>0.88</v>
      </c>
      <c r="F31" s="217" t="s">
        <v>663</v>
      </c>
    </row>
    <row r="32">
      <c r="A32" s="519" t="s">
        <v>664</v>
      </c>
      <c r="B32" s="57" t="s">
        <v>21</v>
      </c>
      <c r="C32" s="672">
        <f>propHomesGasHeating*(1-C31)</f>
        <v>0.1336954909</v>
      </c>
      <c r="D32" s="672">
        <f>propHomesGasHeating*(1-D31)</f>
        <v>0.1169835546</v>
      </c>
      <c r="E32" s="673">
        <f>propHomesGasHeating*(1-E31)</f>
        <v>0.1002716182</v>
      </c>
      <c r="F32" s="30" t="s">
        <v>665</v>
      </c>
    </row>
    <row r="33">
      <c r="A33" s="519" t="s">
        <v>664</v>
      </c>
      <c r="B33" s="57" t="s">
        <v>22</v>
      </c>
      <c r="C33" s="672">
        <f>propHomesOilHeating*(1-C31)</f>
        <v>0.008582576453</v>
      </c>
      <c r="D33" s="672">
        <f>propHomesOilHeating*(1-D31)</f>
        <v>0.007509754396</v>
      </c>
      <c r="E33" s="673">
        <f>propHomesOilHeating*(1-E31)</f>
        <v>0.006436932339</v>
      </c>
    </row>
    <row r="34">
      <c r="A34" s="519" t="s">
        <v>666</v>
      </c>
      <c r="B34" s="57" t="s">
        <v>21</v>
      </c>
      <c r="C34" s="672">
        <f>propHomesGasHeating*C31</f>
        <v>0.7019013274</v>
      </c>
      <c r="D34" s="672">
        <f>propHomesGasHeating*D31</f>
        <v>0.7186132638</v>
      </c>
      <c r="E34" s="673">
        <f>propHomesGasHeating*E31</f>
        <v>0.7353252001</v>
      </c>
    </row>
    <row r="35">
      <c r="A35" s="524" t="s">
        <v>666</v>
      </c>
      <c r="B35" s="545" t="s">
        <v>22</v>
      </c>
      <c r="C35" s="821">
        <f>propHomesOilHeating*C31</f>
        <v>0.04505852638</v>
      </c>
      <c r="D35" s="821">
        <f>propHomesOilHeating*D31</f>
        <v>0.04613134843</v>
      </c>
      <c r="E35" s="713">
        <f>propHomesOilHeating*E31</f>
        <v>0.04720417049</v>
      </c>
    </row>
    <row r="36">
      <c r="A36" s="234"/>
    </row>
    <row r="37">
      <c r="A37" s="109" t="s">
        <v>3</v>
      </c>
      <c r="B37" s="308" t="s">
        <v>10</v>
      </c>
      <c r="C37" s="178"/>
      <c r="D37" s="178"/>
      <c r="E37" s="178"/>
      <c r="F37" s="178"/>
      <c r="G37" s="178"/>
      <c r="H37" s="178"/>
      <c r="I37" s="178"/>
      <c r="J37" s="492"/>
      <c r="K37" s="308" t="s">
        <v>137</v>
      </c>
      <c r="L37" s="178"/>
      <c r="M37" s="178"/>
      <c r="N37" s="178"/>
      <c r="O37" s="178"/>
      <c r="P37" s="178"/>
      <c r="Q37" s="178"/>
      <c r="R37" s="178"/>
      <c r="S37" s="179"/>
      <c r="T37" s="258" t="s">
        <v>138</v>
      </c>
    </row>
    <row r="38">
      <c r="A38" s="261"/>
      <c r="B38" s="40" t="s">
        <v>21</v>
      </c>
      <c r="C38" s="592"/>
      <c r="D38" s="593"/>
      <c r="E38" s="40" t="s">
        <v>22</v>
      </c>
      <c r="F38" s="41"/>
      <c r="G38" s="42"/>
      <c r="H38" s="43" t="s">
        <v>23</v>
      </c>
      <c r="I38" s="44"/>
      <c r="J38" s="45"/>
      <c r="K38" s="40" t="s">
        <v>21</v>
      </c>
      <c r="L38" s="41"/>
      <c r="M38" s="41"/>
      <c r="N38" s="40" t="s">
        <v>22</v>
      </c>
      <c r="O38" s="41"/>
      <c r="P38" s="42"/>
      <c r="Q38" s="44" t="s">
        <v>23</v>
      </c>
      <c r="R38" s="44"/>
      <c r="S38" s="45"/>
      <c r="T38" s="532"/>
    </row>
    <row r="39">
      <c r="A39" s="113"/>
      <c r="B39" s="58" t="s">
        <v>24</v>
      </c>
      <c r="C39" s="54" t="s">
        <v>25</v>
      </c>
      <c r="D39" s="55" t="s">
        <v>26</v>
      </c>
      <c r="E39" s="58" t="s">
        <v>24</v>
      </c>
      <c r="F39" s="54" t="s">
        <v>25</v>
      </c>
      <c r="G39" s="55" t="s">
        <v>26</v>
      </c>
      <c r="H39" s="58" t="s">
        <v>24</v>
      </c>
      <c r="I39" s="54" t="s">
        <v>25</v>
      </c>
      <c r="J39" s="55" t="s">
        <v>26</v>
      </c>
      <c r="K39" s="58" t="s">
        <v>24</v>
      </c>
      <c r="L39" s="54" t="s">
        <v>25</v>
      </c>
      <c r="M39" s="54" t="s">
        <v>26</v>
      </c>
      <c r="N39" s="58" t="s">
        <v>24</v>
      </c>
      <c r="O39" s="54" t="s">
        <v>25</v>
      </c>
      <c r="P39" s="55" t="s">
        <v>26</v>
      </c>
      <c r="Q39" s="514" t="s">
        <v>24</v>
      </c>
      <c r="R39" s="54" t="s">
        <v>25</v>
      </c>
      <c r="S39" s="55" t="s">
        <v>26</v>
      </c>
      <c r="T39" s="532"/>
    </row>
    <row r="40">
      <c r="A40" s="261" t="s">
        <v>76</v>
      </c>
      <c r="B40" s="85">
        <f t="shared" ref="B40:D40" si="4">C23</f>
        <v>821.3587705</v>
      </c>
      <c r="C40" s="86">
        <f t="shared" si="4"/>
        <v>1271.700869</v>
      </c>
      <c r="D40" s="87">
        <f t="shared" si="4"/>
        <v>1722.042967</v>
      </c>
      <c r="E40" s="85">
        <f t="shared" ref="E40:G40" si="5">C24</f>
        <v>1374.406568</v>
      </c>
      <c r="F40" s="86">
        <f t="shared" si="5"/>
        <v>2127.97877</v>
      </c>
      <c r="G40" s="87">
        <f t="shared" si="5"/>
        <v>2881.550973</v>
      </c>
      <c r="H40" s="822">
        <v>0.0</v>
      </c>
      <c r="I40" s="508">
        <v>0.0</v>
      </c>
      <c r="J40" s="347">
        <v>0.0</v>
      </c>
      <c r="K40" s="85">
        <f>numberDwellingsUK*C32/1000</f>
        <v>3764.038653</v>
      </c>
      <c r="L40" s="86">
        <f>numberDwellingsUK*D32/1000</f>
        <v>3293.533821</v>
      </c>
      <c r="M40" s="86">
        <f>numberDwellingsUK*E32/1000</f>
        <v>2823.02899</v>
      </c>
      <c r="N40" s="85">
        <f>numberDwellingsUK*C33/1000</f>
        <v>241.632304</v>
      </c>
      <c r="O40" s="86">
        <f>numberDwellingsUK*D33/1000</f>
        <v>211.428266</v>
      </c>
      <c r="P40" s="87">
        <f>numberDwellingsUK*E33/1000</f>
        <v>181.224228</v>
      </c>
      <c r="Q40" s="86">
        <v>0.0</v>
      </c>
      <c r="R40" s="86">
        <v>0.0</v>
      </c>
      <c r="S40" s="87">
        <v>0.0</v>
      </c>
      <c r="T40" s="602" t="s">
        <v>33</v>
      </c>
    </row>
    <row r="41">
      <c r="A41" s="241" t="s">
        <v>56</v>
      </c>
      <c r="B41" s="116">
        <f t="shared" ref="B41:D41" si="6">C25</f>
        <v>0</v>
      </c>
      <c r="C41" s="117">
        <f t="shared" si="6"/>
        <v>635.8504343</v>
      </c>
      <c r="D41" s="118">
        <f t="shared" si="6"/>
        <v>1271.700869</v>
      </c>
      <c r="E41" s="116">
        <f t="shared" ref="E41:G41" si="7">C26</f>
        <v>0</v>
      </c>
      <c r="F41" s="117">
        <f t="shared" si="7"/>
        <v>1063.989385</v>
      </c>
      <c r="G41" s="118">
        <f t="shared" si="7"/>
        <v>2127.97877</v>
      </c>
      <c r="H41" s="551">
        <v>0.0</v>
      </c>
      <c r="I41" s="552">
        <v>0.0</v>
      </c>
      <c r="J41" s="553">
        <v>0.0</v>
      </c>
      <c r="K41" s="116">
        <f>numberDwellingsUK*C34/1000</f>
        <v>19761.20293</v>
      </c>
      <c r="L41" s="117">
        <f>numberDwellingsUK*D34/1000</f>
        <v>20231.70776</v>
      </c>
      <c r="M41" s="117">
        <f>numberDwellingsUK*E34/1000</f>
        <v>20702.21259</v>
      </c>
      <c r="N41" s="116">
        <f>numberDwellingsUK*C35/1000</f>
        <v>1268.569596</v>
      </c>
      <c r="O41" s="117">
        <f>numberDwellingsUK*D35/1000</f>
        <v>1298.773634</v>
      </c>
      <c r="P41" s="118">
        <f>numberDwellingsUK*E35/1000</f>
        <v>1328.977672</v>
      </c>
      <c r="Q41" s="117">
        <v>0.0</v>
      </c>
      <c r="R41" s="117">
        <v>0.0</v>
      </c>
      <c r="S41" s="118">
        <v>0.0</v>
      </c>
      <c r="T41" s="823" t="s">
        <v>33</v>
      </c>
    </row>
    <row r="42">
      <c r="A42" s="234"/>
    </row>
    <row r="43">
      <c r="A43" s="234"/>
    </row>
    <row r="44">
      <c r="A44" s="234"/>
    </row>
    <row r="45">
      <c r="A45" s="234"/>
    </row>
    <row r="46">
      <c r="A46" s="234"/>
    </row>
    <row r="47">
      <c r="A47" s="234"/>
    </row>
    <row r="48">
      <c r="A48" s="234"/>
    </row>
    <row r="49">
      <c r="A49" s="234"/>
    </row>
    <row r="50">
      <c r="A50" s="234"/>
    </row>
    <row r="51">
      <c r="A51" s="234"/>
    </row>
    <row r="52">
      <c r="A52" s="234"/>
    </row>
    <row r="53">
      <c r="A53" s="234"/>
    </row>
    <row r="54">
      <c r="A54" s="234"/>
    </row>
    <row r="55">
      <c r="A55" s="234"/>
    </row>
    <row r="56">
      <c r="A56" s="234"/>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2">
    <mergeCell ref="B37:J37"/>
    <mergeCell ref="K37:S37"/>
  </mergeCells>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3.44"/>
    <col customWidth="1" min="2" max="2" width="20.44"/>
    <col customWidth="1" min="3" max="3" width="13.44"/>
    <col customWidth="1" min="4" max="4" width="11.0"/>
    <col customWidth="1" min="5" max="5" width="15.44"/>
    <col customWidth="1" min="6" max="26" width="11.0"/>
  </cols>
  <sheetData>
    <row r="1" ht="31.5" customHeight="1">
      <c r="A1" s="132" t="s">
        <v>667</v>
      </c>
      <c r="B1" s="824"/>
      <c r="C1" s="824"/>
      <c r="D1" s="824"/>
      <c r="E1" s="824"/>
      <c r="F1" s="18"/>
      <c r="G1" s="18"/>
      <c r="H1" s="18"/>
      <c r="I1" s="18"/>
      <c r="J1" s="18"/>
      <c r="K1" s="18"/>
    </row>
    <row r="2" ht="31.5" customHeight="1">
      <c r="A2" s="132" t="s">
        <v>668</v>
      </c>
      <c r="B2" s="824"/>
      <c r="C2" s="824"/>
      <c r="D2" s="824"/>
      <c r="E2" s="824"/>
      <c r="F2" s="18"/>
      <c r="G2" s="18"/>
      <c r="H2" s="18"/>
      <c r="I2" s="18"/>
      <c r="J2" s="18"/>
      <c r="K2" s="18"/>
    </row>
    <row r="3">
      <c r="A3" s="265" t="s">
        <v>669</v>
      </c>
      <c r="B3" s="825">
        <v>11630.0</v>
      </c>
      <c r="C3" s="274" t="s">
        <v>670</v>
      </c>
      <c r="D3" s="274"/>
      <c r="E3" s="274"/>
    </row>
    <row r="4">
      <c r="A4" s="265" t="s">
        <v>671</v>
      </c>
      <c r="B4" s="825">
        <f>kwhPerToe*1000</f>
        <v>11630000</v>
      </c>
      <c r="C4" s="274"/>
      <c r="D4" s="274"/>
      <c r="E4" s="274"/>
    </row>
    <row r="5">
      <c r="A5" s="274" t="s">
        <v>672</v>
      </c>
      <c r="B5" s="826">
        <v>0.184</v>
      </c>
      <c r="C5" s="274" t="s">
        <v>673</v>
      </c>
      <c r="D5" s="274" t="s">
        <v>674</v>
      </c>
      <c r="E5" s="274"/>
    </row>
    <row r="6">
      <c r="A6" s="274"/>
      <c r="B6" s="274">
        <f>0.184*1000</f>
        <v>184</v>
      </c>
      <c r="C6" s="274" t="s">
        <v>675</v>
      </c>
      <c r="D6" s="274"/>
      <c r="E6" s="274"/>
    </row>
    <row r="7">
      <c r="A7" s="274" t="s">
        <v>676</v>
      </c>
      <c r="B7" s="826">
        <v>0.194</v>
      </c>
      <c r="C7" s="274" t="s">
        <v>673</v>
      </c>
      <c r="D7" s="274" t="s">
        <v>674</v>
      </c>
      <c r="E7" s="274"/>
    </row>
    <row r="8">
      <c r="A8" s="274" t="s">
        <v>677</v>
      </c>
      <c r="B8" s="826">
        <v>0.27</v>
      </c>
      <c r="C8" s="274" t="s">
        <v>673</v>
      </c>
      <c r="D8" s="274" t="s">
        <v>674</v>
      </c>
      <c r="E8" s="274"/>
    </row>
    <row r="9">
      <c r="A9" s="274"/>
      <c r="B9" s="274"/>
      <c r="C9" s="274"/>
      <c r="D9" s="274"/>
      <c r="E9" s="274"/>
    </row>
    <row r="10">
      <c r="A10" s="132" t="s">
        <v>678</v>
      </c>
      <c r="B10" s="824"/>
      <c r="C10" s="824"/>
      <c r="D10" s="824"/>
      <c r="E10" s="824"/>
      <c r="F10" s="18"/>
      <c r="G10" s="18"/>
      <c r="H10" s="18"/>
      <c r="I10" s="18"/>
      <c r="J10" s="18"/>
      <c r="K10" s="18"/>
    </row>
    <row r="11">
      <c r="A11" s="274" t="s">
        <v>679</v>
      </c>
      <c r="B11" s="827">
        <f>Tariffs!D7</f>
        <v>6.909333333</v>
      </c>
      <c r="C11" s="274" t="s">
        <v>680</v>
      </c>
      <c r="D11" s="274"/>
      <c r="E11" s="274"/>
    </row>
    <row r="12">
      <c r="A12" s="274" t="s">
        <v>681</v>
      </c>
      <c r="B12" s="750">
        <f>Tariffs!B7</f>
        <v>27.42322581</v>
      </c>
      <c r="C12" s="274" t="s">
        <v>680</v>
      </c>
      <c r="D12" s="274"/>
    </row>
    <row r="13">
      <c r="A13" s="274" t="s">
        <v>682</v>
      </c>
      <c r="B13" s="750">
        <f>Tariffs!C7</f>
        <v>26.32251701</v>
      </c>
      <c r="C13" s="274" t="s">
        <v>680</v>
      </c>
      <c r="D13" s="274" t="s">
        <v>617</v>
      </c>
    </row>
    <row r="14">
      <c r="A14" s="274" t="s">
        <v>683</v>
      </c>
      <c r="B14" s="520">
        <v>100.0</v>
      </c>
      <c r="C14" s="274" t="s">
        <v>684</v>
      </c>
      <c r="D14" s="274" t="s">
        <v>685</v>
      </c>
    </row>
    <row r="15">
      <c r="A15" s="274"/>
      <c r="B15" s="736">
        <f>B14/10.35</f>
        <v>9.661835749</v>
      </c>
      <c r="C15" s="274" t="s">
        <v>680</v>
      </c>
    </row>
    <row r="16">
      <c r="A16" s="132" t="s">
        <v>686</v>
      </c>
      <c r="B16" s="824"/>
      <c r="C16" s="824"/>
      <c r="D16" s="824"/>
      <c r="E16" s="824"/>
      <c r="F16" s="18"/>
      <c r="G16" s="18"/>
      <c r="H16" s="18"/>
      <c r="I16" s="18"/>
      <c r="J16" s="18"/>
      <c r="K16" s="18"/>
    </row>
    <row r="17">
      <c r="A17" s="265" t="s">
        <v>687</v>
      </c>
      <c r="B17" s="443">
        <v>6.7081234E7</v>
      </c>
      <c r="C17" s="274"/>
      <c r="D17" s="274" t="s">
        <v>688</v>
      </c>
      <c r="E17" s="274"/>
    </row>
    <row r="18">
      <c r="A18" s="265" t="s">
        <v>689</v>
      </c>
      <c r="B18" s="443">
        <v>5.6550138E7</v>
      </c>
      <c r="C18" s="274"/>
      <c r="D18" s="274" t="s">
        <v>688</v>
      </c>
      <c r="E18" s="274"/>
    </row>
    <row r="19">
      <c r="A19" s="274" t="s">
        <v>690</v>
      </c>
      <c r="B19" s="828">
        <f>C95</f>
        <v>28153819</v>
      </c>
      <c r="C19" s="274"/>
      <c r="D19" s="274" t="s">
        <v>691</v>
      </c>
      <c r="E19" s="274"/>
    </row>
    <row r="20">
      <c r="A20" s="274" t="s">
        <v>692</v>
      </c>
      <c r="B20" s="829">
        <v>5466000.0</v>
      </c>
      <c r="C20" s="274"/>
      <c r="D20" s="274" t="s">
        <v>688</v>
      </c>
      <c r="E20" s="274"/>
    </row>
    <row r="21">
      <c r="A21" s="274" t="s">
        <v>693</v>
      </c>
      <c r="B21" s="829">
        <v>3169586.0</v>
      </c>
      <c r="C21" s="274"/>
      <c r="D21" s="274" t="s">
        <v>688</v>
      </c>
      <c r="E21" s="274"/>
    </row>
    <row r="22">
      <c r="A22" s="274" t="s">
        <v>694</v>
      </c>
      <c r="B22" s="830">
        <v>1895510.0</v>
      </c>
      <c r="C22" s="274"/>
      <c r="D22" s="274"/>
      <c r="E22" s="274"/>
    </row>
    <row r="23">
      <c r="A23" s="274"/>
      <c r="B23" s="828"/>
      <c r="C23" s="274"/>
      <c r="D23" s="274"/>
      <c r="E23" s="274"/>
    </row>
    <row r="24">
      <c r="A24" s="68" t="s">
        <v>695</v>
      </c>
      <c r="B24" s="18"/>
      <c r="C24" s="18"/>
      <c r="D24" s="18"/>
      <c r="E24" s="18"/>
      <c r="F24" s="18"/>
      <c r="G24" s="18"/>
      <c r="H24" s="18"/>
      <c r="I24" s="18"/>
      <c r="J24" s="18"/>
      <c r="K24" s="18"/>
    </row>
    <row r="25">
      <c r="A25" s="265" t="s">
        <v>696</v>
      </c>
      <c r="B25" s="831">
        <v>23735.0</v>
      </c>
      <c r="C25" s="217" t="s">
        <v>697</v>
      </c>
      <c r="D25" s="217" t="s">
        <v>698</v>
      </c>
      <c r="E25" s="217" t="s">
        <v>699</v>
      </c>
    </row>
    <row r="26">
      <c r="A26" s="265" t="s">
        <v>696</v>
      </c>
      <c r="B26" s="832">
        <f>B25*kwhPerKtoe</f>
        <v>276038050000</v>
      </c>
      <c r="C26" s="217" t="s">
        <v>58</v>
      </c>
    </row>
    <row r="27">
      <c r="A27" s="265" t="s">
        <v>700</v>
      </c>
      <c r="B27" s="443">
        <v>19352.0</v>
      </c>
      <c r="C27" s="217" t="s">
        <v>697</v>
      </c>
      <c r="D27" s="217" t="s">
        <v>698</v>
      </c>
      <c r="E27" s="217" t="s">
        <v>699</v>
      </c>
    </row>
    <row r="28">
      <c r="A28" s="265" t="s">
        <v>696</v>
      </c>
      <c r="B28" s="832">
        <f>B27*kwhPerKtoe</f>
        <v>225063760000</v>
      </c>
      <c r="C28" s="217" t="s">
        <v>58</v>
      </c>
      <c r="D28" s="833"/>
    </row>
    <row r="29">
      <c r="A29" s="265" t="s">
        <v>701</v>
      </c>
      <c r="B29" s="832">
        <f>C96</f>
        <v>23525241.58</v>
      </c>
    </row>
    <row r="30">
      <c r="A30" s="265" t="s">
        <v>702</v>
      </c>
      <c r="B30" s="447">
        <f>C96/C95</f>
        <v>0.8355968183</v>
      </c>
    </row>
    <row r="31">
      <c r="A31" s="265" t="s">
        <v>703</v>
      </c>
      <c r="B31" s="832">
        <f>B26/(numberDwellingsUK*B30)</f>
        <v>11733.69672</v>
      </c>
      <c r="C31" s="217" t="s">
        <v>58</v>
      </c>
      <c r="D31" s="217" t="s">
        <v>704</v>
      </c>
    </row>
    <row r="32">
      <c r="A32" s="265" t="s">
        <v>705</v>
      </c>
      <c r="B32" s="834">
        <f>B27/B25</f>
        <v>0.8153360017</v>
      </c>
      <c r="C32" s="217" t="s">
        <v>58</v>
      </c>
    </row>
    <row r="33">
      <c r="A33" s="265" t="s">
        <v>706</v>
      </c>
      <c r="B33" s="755">
        <v>0.32</v>
      </c>
      <c r="C33" s="217" t="s">
        <v>707</v>
      </c>
    </row>
    <row r="34">
      <c r="A34" s="265"/>
    </row>
    <row r="35">
      <c r="A35" s="68" t="s">
        <v>708</v>
      </c>
      <c r="B35" s="18"/>
      <c r="C35" s="18"/>
      <c r="D35" s="18"/>
      <c r="E35" s="18"/>
      <c r="F35" s="18"/>
      <c r="G35" s="18"/>
      <c r="H35" s="18"/>
      <c r="I35" s="18"/>
      <c r="J35" s="18"/>
      <c r="K35" s="18"/>
    </row>
    <row r="36">
      <c r="A36" s="234" t="s">
        <v>709</v>
      </c>
      <c r="B36" s="835">
        <v>2549.6025188909316</v>
      </c>
      <c r="C36" s="217" t="s">
        <v>697</v>
      </c>
      <c r="D36" s="217" t="s">
        <v>698</v>
      </c>
      <c r="E36" s="217" t="s">
        <v>699</v>
      </c>
    </row>
    <row r="37">
      <c r="A37" s="234"/>
      <c r="B37" s="836">
        <f>B36*kwhPerKtoe</f>
        <v>29651877295</v>
      </c>
      <c r="C37" s="217" t="s">
        <v>58</v>
      </c>
    </row>
    <row r="38">
      <c r="A38" s="265" t="s">
        <v>710</v>
      </c>
      <c r="B38" s="829">
        <v>2079.0</v>
      </c>
      <c r="C38" s="217" t="s">
        <v>697</v>
      </c>
      <c r="D38" s="217" t="s">
        <v>698</v>
      </c>
      <c r="E38" s="217" t="s">
        <v>699</v>
      </c>
    </row>
    <row r="39">
      <c r="A39" s="265" t="s">
        <v>709</v>
      </c>
      <c r="B39" s="836">
        <f>B38*kwhPerKtoe</f>
        <v>24178770000</v>
      </c>
      <c r="C39" s="217" t="s">
        <v>58</v>
      </c>
      <c r="D39" s="833"/>
    </row>
    <row r="40">
      <c r="A40" s="265" t="s">
        <v>711</v>
      </c>
      <c r="B40" s="106">
        <f>C97</f>
        <v>1510201.9</v>
      </c>
    </row>
    <row r="41">
      <c r="A41" s="265" t="s">
        <v>712</v>
      </c>
      <c r="B41" s="447">
        <f>numberHomesOilHeating/numberDwellingsUK</f>
        <v>0.05364110283</v>
      </c>
    </row>
    <row r="42">
      <c r="A42" s="265" t="s">
        <v>713</v>
      </c>
      <c r="B42" s="106">
        <f>B37/numberHomesOilHeating</f>
        <v>19634.37955</v>
      </c>
      <c r="C42" s="217" t="s">
        <v>58</v>
      </c>
      <c r="D42" s="217" t="s">
        <v>714</v>
      </c>
    </row>
    <row r="43">
      <c r="A43" s="265" t="s">
        <v>715</v>
      </c>
      <c r="B43" s="447">
        <f>B38/B36</f>
        <v>0.8154212214</v>
      </c>
      <c r="D43" s="217" t="s">
        <v>716</v>
      </c>
    </row>
    <row r="44">
      <c r="A44" s="265" t="s">
        <v>717</v>
      </c>
      <c r="B44" s="300">
        <v>0.78</v>
      </c>
      <c r="C44" s="217" t="s">
        <v>707</v>
      </c>
    </row>
    <row r="45">
      <c r="A45" s="265"/>
      <c r="B45" s="462"/>
    </row>
    <row r="46">
      <c r="A46" s="68" t="s">
        <v>718</v>
      </c>
      <c r="B46" s="18"/>
      <c r="C46" s="18"/>
      <c r="D46" s="18"/>
      <c r="E46" s="18"/>
      <c r="F46" s="18"/>
      <c r="G46" s="18"/>
      <c r="H46" s="18"/>
      <c r="I46" s="18"/>
      <c r="J46" s="18"/>
      <c r="K46" s="18"/>
    </row>
    <row r="47">
      <c r="A47" s="265" t="s">
        <v>719</v>
      </c>
      <c r="B47" s="837">
        <v>1475.0</v>
      </c>
      <c r="C47" s="217" t="s">
        <v>697</v>
      </c>
      <c r="D47" s="217" t="s">
        <v>698</v>
      </c>
      <c r="E47" s="217" t="s">
        <v>699</v>
      </c>
    </row>
    <row r="48">
      <c r="A48" s="265" t="s">
        <v>720</v>
      </c>
      <c r="B48" s="837">
        <v>405.0</v>
      </c>
      <c r="C48" s="217" t="s">
        <v>697</v>
      </c>
      <c r="D48" s="217" t="s">
        <v>698</v>
      </c>
    </row>
    <row r="49">
      <c r="A49" s="265" t="s">
        <v>721</v>
      </c>
      <c r="B49" s="836">
        <f>(B47+B48)*kwhPerKtoe</f>
        <v>21864400000</v>
      </c>
      <c r="C49" s="217" t="s">
        <v>58</v>
      </c>
    </row>
    <row r="50" ht="65.25" customHeight="1">
      <c r="A50" s="265" t="s">
        <v>722</v>
      </c>
      <c r="B50" s="838">
        <v>0.74</v>
      </c>
      <c r="D50" s="217" t="s">
        <v>109</v>
      </c>
      <c r="E50" s="217" t="s">
        <v>723</v>
      </c>
    </row>
    <row r="51">
      <c r="A51" s="265" t="s">
        <v>724</v>
      </c>
      <c r="B51" s="836">
        <f>TotalDomesticElecHeatingkwh*B50</f>
        <v>16179656000</v>
      </c>
      <c r="C51" s="217" t="s">
        <v>58</v>
      </c>
    </row>
    <row r="52">
      <c r="A52" s="265" t="s">
        <v>725</v>
      </c>
      <c r="B52" s="839">
        <f t="shared" ref="B52:B53" si="1">C98</f>
        <v>1317747.625</v>
      </c>
    </row>
    <row r="53">
      <c r="A53" s="265" t="s">
        <v>726</v>
      </c>
      <c r="B53" s="839">
        <f t="shared" si="1"/>
        <v>826841.5151</v>
      </c>
    </row>
    <row r="54">
      <c r="A54" s="265" t="s">
        <v>727</v>
      </c>
      <c r="B54" s="840">
        <f>numberHomesStorageHeater/numberDwellingsUK</f>
        <v>0.04680528865</v>
      </c>
    </row>
    <row r="55">
      <c r="A55" s="265" t="s">
        <v>728</v>
      </c>
      <c r="B55" s="840">
        <f>numberHomesOtherElectricHeaters/numberDwellingsUK</f>
        <v>0.02936871602</v>
      </c>
    </row>
    <row r="56">
      <c r="A56" s="265" t="s">
        <v>729</v>
      </c>
      <c r="B56" s="836">
        <f>B51/(B52+B53)</f>
        <v>7544.40825</v>
      </c>
      <c r="C56" s="217" t="s">
        <v>58</v>
      </c>
      <c r="D56" s="217" t="s">
        <v>730</v>
      </c>
      <c r="E56" s="217" t="s">
        <v>731</v>
      </c>
      <c r="F56" s="302"/>
    </row>
    <row r="57">
      <c r="A57" s="265" t="s">
        <v>732</v>
      </c>
      <c r="B57" s="836">
        <f>B51*B52/SUM(B52:B53)</f>
        <v>9941626052</v>
      </c>
      <c r="C57" s="217" t="s">
        <v>58</v>
      </c>
    </row>
    <row r="58">
      <c r="A58" s="265" t="s">
        <v>733</v>
      </c>
      <c r="B58" s="841">
        <f>B51*B53/SUM(B52:B53)</f>
        <v>6238029948</v>
      </c>
      <c r="C58" s="217" t="s">
        <v>58</v>
      </c>
    </row>
    <row r="59">
      <c r="A59" s="265"/>
    </row>
    <row r="60">
      <c r="A60" s="842" t="s">
        <v>734</v>
      </c>
      <c r="B60" s="57"/>
      <c r="C60" s="57"/>
      <c r="D60" s="57"/>
      <c r="E60" s="57"/>
    </row>
    <row r="61">
      <c r="A61" s="277" t="s">
        <v>735</v>
      </c>
    </row>
    <row r="62">
      <c r="A62" s="265" t="s">
        <v>736</v>
      </c>
      <c r="C62" s="106">
        <f>B18</f>
        <v>56550138</v>
      </c>
    </row>
    <row r="63">
      <c r="A63" s="217" t="s">
        <v>737</v>
      </c>
      <c r="C63" s="443">
        <v>2.35E7</v>
      </c>
      <c r="E63" s="217" t="s">
        <v>738</v>
      </c>
    </row>
    <row r="64">
      <c r="A64" s="217" t="s">
        <v>739</v>
      </c>
      <c r="B64" s="755">
        <v>0.86</v>
      </c>
      <c r="C64" s="106">
        <f t="shared" ref="C64:C67" si="2">B64*C$63</f>
        <v>20210000</v>
      </c>
      <c r="E64" s="217" t="s">
        <v>738</v>
      </c>
    </row>
    <row r="65">
      <c r="A65" s="217" t="s">
        <v>708</v>
      </c>
      <c r="B65" s="755">
        <v>0.03</v>
      </c>
      <c r="C65" s="106">
        <f t="shared" si="2"/>
        <v>705000</v>
      </c>
      <c r="E65" s="217" t="s">
        <v>738</v>
      </c>
    </row>
    <row r="66">
      <c r="A66" s="217" t="s">
        <v>103</v>
      </c>
      <c r="B66" s="245">
        <v>0.044</v>
      </c>
      <c r="C66" s="106">
        <f t="shared" si="2"/>
        <v>1034000</v>
      </c>
      <c r="E66" s="217" t="s">
        <v>738</v>
      </c>
    </row>
    <row r="67">
      <c r="A67" s="217" t="s">
        <v>105</v>
      </c>
      <c r="B67" s="245">
        <v>0.03</v>
      </c>
      <c r="C67" s="106">
        <f t="shared" si="2"/>
        <v>705000</v>
      </c>
      <c r="E67" s="217" t="s">
        <v>738</v>
      </c>
      <c r="F67" s="302" t="s">
        <v>740</v>
      </c>
    </row>
    <row r="68">
      <c r="B68" s="447">
        <f>SUM(B64:B67)</f>
        <v>0.964</v>
      </c>
      <c r="C68" s="106"/>
      <c r="F68" s="302" t="s">
        <v>741</v>
      </c>
    </row>
    <row r="69">
      <c r="A69" s="185" t="s">
        <v>742</v>
      </c>
      <c r="B69" s="106"/>
      <c r="C69" s="106"/>
    </row>
    <row r="70">
      <c r="A70" s="265" t="s">
        <v>736</v>
      </c>
      <c r="C70" s="106">
        <f>B20</f>
        <v>5466000</v>
      </c>
    </row>
    <row r="71">
      <c r="A71" s="217" t="s">
        <v>737</v>
      </c>
      <c r="C71" s="443">
        <v>2470000.0</v>
      </c>
      <c r="E71" s="217" t="s">
        <v>743</v>
      </c>
    </row>
    <row r="72">
      <c r="A72" s="217" t="s">
        <v>739</v>
      </c>
      <c r="B72" s="245">
        <v>0.801</v>
      </c>
      <c r="C72" s="106">
        <f t="shared" ref="C72:C75" si="3">B72*C$71</f>
        <v>1978470</v>
      </c>
      <c r="E72" s="217" t="s">
        <v>743</v>
      </c>
    </row>
    <row r="73">
      <c r="A73" s="217" t="s">
        <v>708</v>
      </c>
      <c r="B73" s="245">
        <v>0.056</v>
      </c>
      <c r="C73" s="106">
        <f t="shared" si="3"/>
        <v>138320</v>
      </c>
      <c r="E73" s="217" t="s">
        <v>743</v>
      </c>
    </row>
    <row r="74">
      <c r="A74" s="217" t="s">
        <v>103</v>
      </c>
      <c r="B74" s="843">
        <v>0.079</v>
      </c>
      <c r="C74" s="106">
        <f t="shared" si="3"/>
        <v>195130</v>
      </c>
      <c r="E74" s="217" t="s">
        <v>743</v>
      </c>
    </row>
    <row r="75">
      <c r="A75" s="217" t="s">
        <v>105</v>
      </c>
      <c r="B75" s="843">
        <v>0.029</v>
      </c>
      <c r="C75" s="106">
        <f t="shared" si="3"/>
        <v>71630</v>
      </c>
      <c r="E75" s="217" t="s">
        <v>743</v>
      </c>
    </row>
    <row r="76">
      <c r="B76" s="447">
        <f>SUM(B72:B75)</f>
        <v>0.965</v>
      </c>
      <c r="C76" s="106"/>
    </row>
    <row r="77">
      <c r="A77" s="185" t="s">
        <v>744</v>
      </c>
      <c r="C77" s="106"/>
    </row>
    <row r="78">
      <c r="A78" s="265" t="s">
        <v>736</v>
      </c>
      <c r="C78" s="106">
        <f>B17-B18-B20</f>
        <v>5065096</v>
      </c>
    </row>
    <row r="79">
      <c r="A79" s="217" t="s">
        <v>737</v>
      </c>
      <c r="C79" s="443">
        <v>1403819.0</v>
      </c>
      <c r="E79" s="30" t="s">
        <v>745</v>
      </c>
    </row>
    <row r="80">
      <c r="A80" s="217" t="s">
        <v>739</v>
      </c>
      <c r="B80" s="755">
        <v>0.82</v>
      </c>
      <c r="C80" s="106">
        <f t="shared" ref="C80:C83" si="4">B80*C$79</f>
        <v>1151131.58</v>
      </c>
      <c r="E80" s="106" t="s">
        <v>746</v>
      </c>
    </row>
    <row r="81">
      <c r="A81" s="217" t="s">
        <v>708</v>
      </c>
      <c r="B81" s="755">
        <v>0.1</v>
      </c>
      <c r="C81" s="106">
        <f t="shared" si="4"/>
        <v>140381.9</v>
      </c>
      <c r="E81" s="106" t="s">
        <v>746</v>
      </c>
    </row>
    <row r="82">
      <c r="A82" s="217" t="s">
        <v>103</v>
      </c>
      <c r="B82" s="755">
        <v>0.04</v>
      </c>
      <c r="C82" s="106">
        <f t="shared" si="4"/>
        <v>56152.76</v>
      </c>
      <c r="E82" s="106" t="s">
        <v>746</v>
      </c>
    </row>
    <row r="83">
      <c r="A83" s="217" t="s">
        <v>105</v>
      </c>
      <c r="B83" s="755">
        <v>0.02</v>
      </c>
      <c r="C83" s="106">
        <f t="shared" si="4"/>
        <v>28076.38</v>
      </c>
      <c r="E83" s="106" t="s">
        <v>746</v>
      </c>
    </row>
    <row r="84">
      <c r="B84" s="447">
        <f>SUM(B80:B83)</f>
        <v>0.98</v>
      </c>
      <c r="C84" s="106"/>
    </row>
    <row r="85">
      <c r="A85" s="185" t="s">
        <v>747</v>
      </c>
      <c r="C85" s="106"/>
    </row>
    <row r="86">
      <c r="A86" s="265" t="s">
        <v>736</v>
      </c>
      <c r="C86" s="106">
        <f>B22</f>
        <v>1895510</v>
      </c>
    </row>
    <row r="87">
      <c r="A87" s="217" t="s">
        <v>737</v>
      </c>
      <c r="C87" s="844">
        <v>780000.0</v>
      </c>
      <c r="E87" s="217" t="s">
        <v>748</v>
      </c>
      <c r="F87" s="217" t="s">
        <v>749</v>
      </c>
      <c r="G87" s="217">
        <f>C86/C87</f>
        <v>2.430141026</v>
      </c>
    </row>
    <row r="88">
      <c r="A88" s="217" t="s">
        <v>739</v>
      </c>
      <c r="B88" s="245">
        <v>0.238</v>
      </c>
      <c r="C88" s="106">
        <f t="shared" ref="C88:C89" si="5">B88*C$87</f>
        <v>185640</v>
      </c>
      <c r="E88" s="217" t="s">
        <v>748</v>
      </c>
    </row>
    <row r="89">
      <c r="A89" s="217" t="s">
        <v>708</v>
      </c>
      <c r="B89" s="245">
        <v>0.675</v>
      </c>
      <c r="C89" s="106">
        <f t="shared" si="5"/>
        <v>526500</v>
      </c>
      <c r="E89" s="217" t="s">
        <v>748</v>
      </c>
    </row>
    <row r="90">
      <c r="A90" s="217" t="s">
        <v>750</v>
      </c>
      <c r="B90" s="245">
        <v>0.07</v>
      </c>
      <c r="C90" s="106"/>
      <c r="E90" s="217" t="s">
        <v>748</v>
      </c>
      <c r="F90" s="217" t="s">
        <v>751</v>
      </c>
    </row>
    <row r="91">
      <c r="A91" s="217" t="s">
        <v>103</v>
      </c>
      <c r="B91" s="273">
        <f>B90*(B66/(B66+B67))</f>
        <v>0.04162162162</v>
      </c>
      <c r="C91" s="106">
        <f t="shared" ref="C91:C92" si="6">B91*C$87</f>
        <v>32464.86486</v>
      </c>
      <c r="E91" s="217" t="s">
        <v>752</v>
      </c>
    </row>
    <row r="92">
      <c r="A92" s="217" t="s">
        <v>105</v>
      </c>
      <c r="B92" s="447">
        <f>B90-B91</f>
        <v>0.02837837838</v>
      </c>
      <c r="C92" s="106">
        <f t="shared" si="6"/>
        <v>22135.13514</v>
      </c>
    </row>
    <row r="93">
      <c r="B93" s="447">
        <f>SUM(B88:B92)-B90</f>
        <v>0.983</v>
      </c>
      <c r="C93" s="106"/>
    </row>
    <row r="94">
      <c r="A94" s="185" t="s">
        <v>753</v>
      </c>
      <c r="B94" s="447"/>
      <c r="C94" s="106"/>
    </row>
    <row r="95">
      <c r="A95" s="217" t="s">
        <v>754</v>
      </c>
      <c r="C95" s="106">
        <f t="shared" ref="C95:C97" si="7">C63+C71+C79+C87</f>
        <v>28153819</v>
      </c>
    </row>
    <row r="96">
      <c r="A96" s="217" t="s">
        <v>755</v>
      </c>
      <c r="C96" s="106">
        <f t="shared" si="7"/>
        <v>23525241.58</v>
      </c>
    </row>
    <row r="97">
      <c r="A97" s="217" t="s">
        <v>756</v>
      </c>
      <c r="C97" s="106">
        <f t="shared" si="7"/>
        <v>1510201.9</v>
      </c>
    </row>
    <row r="98">
      <c r="A98" s="217" t="s">
        <v>757</v>
      </c>
      <c r="C98" s="106">
        <f t="shared" ref="C98:C99" si="8">C66+C74+C82+C91</f>
        <v>1317747.625</v>
      </c>
    </row>
    <row r="99">
      <c r="A99" s="217" t="s">
        <v>758</v>
      </c>
      <c r="C99" s="106">
        <f t="shared" si="8"/>
        <v>826841.5151</v>
      </c>
    </row>
    <row r="100">
      <c r="C100" s="447">
        <f>SUM(C96:C99)/C95</f>
        <v>0.9654119258</v>
      </c>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8.44"/>
    <col customWidth="1" min="2" max="3" width="16.0"/>
    <col customWidth="1" min="4" max="4" width="7.0"/>
    <col customWidth="1" min="5" max="6" width="20.0"/>
    <col customWidth="1" min="7" max="7" width="7.33"/>
    <col customWidth="1" min="8" max="26" width="10.44"/>
  </cols>
  <sheetData>
    <row r="1">
      <c r="A1" s="185" t="s">
        <v>759</v>
      </c>
      <c r="F1" s="217" t="s">
        <v>760</v>
      </c>
    </row>
    <row r="2">
      <c r="A2" s="217" t="s">
        <v>761</v>
      </c>
    </row>
    <row r="3">
      <c r="A3" s="217" t="s">
        <v>762</v>
      </c>
    </row>
    <row r="4"/>
    <row r="5">
      <c r="A5" s="185" t="s">
        <v>763</v>
      </c>
      <c r="B5" s="30"/>
      <c r="C5" s="30"/>
      <c r="D5" s="30"/>
      <c r="E5" s="30"/>
      <c r="F5" s="30"/>
      <c r="G5" s="30"/>
      <c r="H5" s="302"/>
    </row>
    <row r="6">
      <c r="A6" s="30"/>
      <c r="B6" s="378" t="s">
        <v>23</v>
      </c>
      <c r="C6" s="379" t="s">
        <v>764</v>
      </c>
      <c r="D6" s="380" t="s">
        <v>21</v>
      </c>
      <c r="E6" s="30"/>
      <c r="F6" s="30"/>
      <c r="G6" s="30"/>
      <c r="H6" s="302"/>
    </row>
    <row r="7">
      <c r="A7" s="30"/>
      <c r="B7" s="845">
        <f>C27</f>
        <v>27.42322581</v>
      </c>
      <c r="C7" s="749">
        <f>F27</f>
        <v>26.32251701</v>
      </c>
      <c r="D7" s="846">
        <f>I27</f>
        <v>6.909333333</v>
      </c>
      <c r="E7" s="30" t="s">
        <v>680</v>
      </c>
      <c r="F7" s="30"/>
      <c r="G7" s="30"/>
      <c r="H7" s="302"/>
    </row>
    <row r="8"/>
    <row r="9">
      <c r="A9" s="185" t="s">
        <v>765</v>
      </c>
    </row>
    <row r="10">
      <c r="B10" s="847" t="s">
        <v>766</v>
      </c>
      <c r="C10" s="848"/>
      <c r="E10" s="847" t="s">
        <v>767</v>
      </c>
      <c r="F10" s="848"/>
      <c r="H10" s="847" t="s">
        <v>768</v>
      </c>
      <c r="I10" s="848"/>
    </row>
    <row r="11">
      <c r="B11" s="849" t="s">
        <v>769</v>
      </c>
      <c r="C11" s="850" t="s">
        <v>128</v>
      </c>
      <c r="D11" s="80"/>
      <c r="E11" s="849" t="s">
        <v>769</v>
      </c>
      <c r="F11" s="850" t="s">
        <v>128</v>
      </c>
      <c r="G11" s="80"/>
      <c r="H11" s="849" t="s">
        <v>769</v>
      </c>
      <c r="I11" s="850" t="s">
        <v>128</v>
      </c>
    </row>
    <row r="12">
      <c r="A12" s="217" t="s">
        <v>770</v>
      </c>
      <c r="B12" s="851">
        <v>202.99</v>
      </c>
      <c r="C12" s="852">
        <v>1048.7</v>
      </c>
      <c r="D12" s="853"/>
      <c r="E12" s="854">
        <v>202.91</v>
      </c>
      <c r="F12" s="852">
        <v>1301.43</v>
      </c>
      <c r="G12" s="853"/>
      <c r="H12" s="851">
        <v>121.64</v>
      </c>
      <c r="I12" s="852">
        <v>951.48</v>
      </c>
    </row>
    <row r="13">
      <c r="A13" s="217" t="s">
        <v>771</v>
      </c>
      <c r="B13" s="851">
        <v>223.65</v>
      </c>
      <c r="C13" s="852">
        <v>1049.6</v>
      </c>
      <c r="D13" s="853"/>
      <c r="E13" s="854">
        <v>223.53</v>
      </c>
      <c r="F13" s="852">
        <v>1300.22</v>
      </c>
      <c r="G13" s="853"/>
      <c r="H13" s="851">
        <v>121.65</v>
      </c>
      <c r="I13" s="852">
        <v>941.56</v>
      </c>
    </row>
    <row r="14">
      <c r="A14" s="217" t="s">
        <v>772</v>
      </c>
      <c r="B14" s="851">
        <v>218.4</v>
      </c>
      <c r="C14" s="852">
        <v>1042.59</v>
      </c>
      <c r="D14" s="853"/>
      <c r="E14" s="854">
        <v>218.28</v>
      </c>
      <c r="F14" s="852">
        <v>1295.42</v>
      </c>
      <c r="G14" s="853"/>
      <c r="H14" s="851">
        <v>121.65</v>
      </c>
      <c r="I14" s="852">
        <v>942.66</v>
      </c>
    </row>
    <row r="15">
      <c r="A15" s="217" t="s">
        <v>773</v>
      </c>
      <c r="B15" s="851">
        <v>230.76</v>
      </c>
      <c r="C15" s="852">
        <v>1078.06</v>
      </c>
      <c r="D15" s="853"/>
      <c r="E15" s="854">
        <v>230.63</v>
      </c>
      <c r="F15" s="852">
        <v>1335.03</v>
      </c>
      <c r="G15" s="853"/>
      <c r="H15" s="851">
        <v>121.64</v>
      </c>
      <c r="I15" s="852">
        <v>945.55</v>
      </c>
    </row>
    <row r="16">
      <c r="A16" s="217" t="s">
        <v>774</v>
      </c>
      <c r="B16" s="851">
        <v>196.29</v>
      </c>
      <c r="C16" s="852">
        <v>1051.29</v>
      </c>
      <c r="D16" s="853"/>
      <c r="E16" s="854">
        <v>196.22</v>
      </c>
      <c r="F16" s="852">
        <v>1308.12</v>
      </c>
      <c r="G16" s="853"/>
      <c r="H16" s="851">
        <v>121.62</v>
      </c>
      <c r="I16" s="852">
        <v>962.78</v>
      </c>
      <c r="L16" s="274"/>
    </row>
    <row r="17">
      <c r="A17" s="217" t="s">
        <v>775</v>
      </c>
      <c r="B17" s="851">
        <v>240.66</v>
      </c>
      <c r="C17" s="852">
        <v>1076.17</v>
      </c>
      <c r="D17" s="853"/>
      <c r="E17" s="854">
        <v>240.51</v>
      </c>
      <c r="F17" s="852">
        <v>1328.14</v>
      </c>
      <c r="G17" s="853"/>
      <c r="H17" s="851">
        <v>121.64</v>
      </c>
      <c r="I17" s="852">
        <v>945.54</v>
      </c>
    </row>
    <row r="18">
      <c r="A18" s="217" t="s">
        <v>776</v>
      </c>
      <c r="B18" s="851">
        <v>241.12</v>
      </c>
      <c r="C18" s="852">
        <v>1119.41</v>
      </c>
      <c r="D18" s="853"/>
      <c r="E18" s="854">
        <v>240.99</v>
      </c>
      <c r="F18" s="852">
        <v>1380.16</v>
      </c>
      <c r="G18" s="853"/>
      <c r="H18" s="851">
        <v>121.63</v>
      </c>
      <c r="I18" s="852">
        <v>955.18</v>
      </c>
    </row>
    <row r="19">
      <c r="A19" s="217" t="s">
        <v>777</v>
      </c>
      <c r="B19" s="851">
        <v>154.31</v>
      </c>
      <c r="C19" s="852">
        <v>1037.81</v>
      </c>
      <c r="D19" s="853"/>
      <c r="E19" s="854">
        <v>154.32</v>
      </c>
      <c r="F19" s="852">
        <v>1297.94</v>
      </c>
      <c r="G19" s="853"/>
      <c r="H19" s="851">
        <v>121.64</v>
      </c>
      <c r="I19" s="852">
        <v>951.3</v>
      </c>
    </row>
    <row r="20">
      <c r="A20" s="217" t="s">
        <v>778</v>
      </c>
      <c r="B20" s="851">
        <v>187.49</v>
      </c>
      <c r="C20" s="852">
        <v>1060.71</v>
      </c>
      <c r="D20" s="853"/>
      <c r="E20" s="854">
        <v>187.44</v>
      </c>
      <c r="F20" s="852">
        <v>1318.91</v>
      </c>
      <c r="G20" s="853"/>
      <c r="H20" s="851">
        <v>121.63</v>
      </c>
      <c r="I20" s="852">
        <v>954.53</v>
      </c>
    </row>
    <row r="21">
      <c r="A21" s="217" t="s">
        <v>779</v>
      </c>
      <c r="B21" s="851">
        <v>174.45</v>
      </c>
      <c r="C21" s="852">
        <v>1042.54</v>
      </c>
      <c r="D21" s="853"/>
      <c r="E21" s="854">
        <v>174.43</v>
      </c>
      <c r="F21" s="852">
        <v>1300.57</v>
      </c>
      <c r="G21" s="853"/>
      <c r="H21" s="851">
        <v>121.65</v>
      </c>
      <c r="I21" s="852">
        <v>937.8</v>
      </c>
    </row>
    <row r="22">
      <c r="A22" s="217" t="s">
        <v>780</v>
      </c>
      <c r="B22" s="851">
        <v>198.94</v>
      </c>
      <c r="C22" s="852">
        <v>1030.57</v>
      </c>
      <c r="D22" s="853"/>
      <c r="E22" s="854">
        <v>198.86</v>
      </c>
      <c r="F22" s="852">
        <v>1284.18</v>
      </c>
      <c r="G22" s="853"/>
      <c r="H22" s="851">
        <v>121.66</v>
      </c>
      <c r="I22" s="852">
        <v>935.43</v>
      </c>
    </row>
    <row r="23">
      <c r="A23" s="217" t="s">
        <v>781</v>
      </c>
      <c r="B23" s="851">
        <v>212.37</v>
      </c>
      <c r="C23" s="852">
        <v>1046.89</v>
      </c>
      <c r="D23" s="853"/>
      <c r="E23" s="854">
        <v>212.27</v>
      </c>
      <c r="F23" s="852">
        <v>1301.58</v>
      </c>
      <c r="G23" s="853"/>
      <c r="H23" s="851">
        <v>121.65</v>
      </c>
      <c r="I23" s="852">
        <v>941.75</v>
      </c>
    </row>
    <row r="24">
      <c r="A24" s="217" t="s">
        <v>782</v>
      </c>
      <c r="B24" s="851">
        <v>228.19</v>
      </c>
      <c r="C24" s="852">
        <v>1073.08</v>
      </c>
      <c r="D24" s="853"/>
      <c r="E24" s="854">
        <v>228.07</v>
      </c>
      <c r="F24" s="852">
        <v>1325.54</v>
      </c>
      <c r="G24" s="853"/>
      <c r="H24" s="851">
        <v>121.6</v>
      </c>
      <c r="I24" s="852">
        <v>975.46</v>
      </c>
    </row>
    <row r="25">
      <c r="A25" s="217" t="s">
        <v>783</v>
      </c>
      <c r="B25" s="851">
        <v>211.0</v>
      </c>
      <c r="C25" s="852">
        <v>1064.88</v>
      </c>
      <c r="D25" s="853"/>
      <c r="E25" s="854">
        <v>211.73</v>
      </c>
      <c r="F25" s="852">
        <v>1320.59</v>
      </c>
      <c r="G25" s="853"/>
      <c r="H25" s="851">
        <v>121.61</v>
      </c>
      <c r="I25" s="852">
        <v>969.57</v>
      </c>
    </row>
    <row r="26">
      <c r="A26" s="217" t="s">
        <v>784</v>
      </c>
      <c r="B26" s="855">
        <f t="shared" ref="B26:C26" si="1">AVERAGE(B12:B25)</f>
        <v>208.6157143</v>
      </c>
      <c r="C26" s="856">
        <f t="shared" si="1"/>
        <v>1058.735714</v>
      </c>
      <c r="D26" s="853"/>
      <c r="E26" s="855">
        <f t="shared" ref="E26:F26" si="2">AVERAGE(E12:E25)</f>
        <v>208.585</v>
      </c>
      <c r="F26" s="856">
        <f t="shared" si="2"/>
        <v>1314.130714</v>
      </c>
      <c r="G26" s="853"/>
      <c r="H26" s="857">
        <f t="shared" ref="H26:I26" si="3">AVERAGE(H12:H25)</f>
        <v>121.6364286</v>
      </c>
      <c r="I26" s="858">
        <f t="shared" si="3"/>
        <v>950.7564286</v>
      </c>
    </row>
    <row r="27">
      <c r="A27" s="217" t="s">
        <v>680</v>
      </c>
      <c r="B27" s="845"/>
      <c r="C27" s="846">
        <f>(C26-B26)/3100*100</f>
        <v>27.42322581</v>
      </c>
      <c r="D27" s="750"/>
      <c r="E27" s="845"/>
      <c r="F27" s="846">
        <f>(F26-E26)/4200*100</f>
        <v>26.32251701</v>
      </c>
      <c r="G27" s="750"/>
      <c r="H27" s="845"/>
      <c r="I27" s="846">
        <f>(I26-H26)/12000*100</f>
        <v>6.909333333</v>
      </c>
    </row>
    <row r="28">
      <c r="B28" s="750"/>
      <c r="C28" s="750"/>
      <c r="D28" s="750"/>
      <c r="E28" s="750"/>
      <c r="F28" s="750"/>
      <c r="G28" s="750"/>
      <c r="H28" s="750"/>
      <c r="I28" s="750"/>
    </row>
    <row r="29">
      <c r="A29" s="185" t="s">
        <v>785</v>
      </c>
      <c r="B29" s="750"/>
      <c r="C29" s="750"/>
      <c r="D29" s="750"/>
      <c r="E29" s="750"/>
      <c r="F29" s="750"/>
      <c r="G29" s="750"/>
      <c r="H29" s="750"/>
      <c r="I29" s="750"/>
    </row>
    <row r="30">
      <c r="B30" s="859" t="s">
        <v>23</v>
      </c>
      <c r="C30" s="860" t="s">
        <v>764</v>
      </c>
      <c r="D30" s="861" t="s">
        <v>21</v>
      </c>
      <c r="E30" s="750"/>
      <c r="F30" s="750"/>
      <c r="G30" s="750"/>
      <c r="H30" s="750"/>
      <c r="I30" s="750"/>
    </row>
    <row r="31">
      <c r="B31" s="862">
        <v>34.0</v>
      </c>
      <c r="C31" s="749">
        <f>B31</f>
        <v>34</v>
      </c>
      <c r="D31" s="863">
        <v>10.3</v>
      </c>
      <c r="E31" s="750" t="s">
        <v>680</v>
      </c>
      <c r="F31" s="750" t="s">
        <v>786</v>
      </c>
      <c r="G31" s="750"/>
      <c r="H31" s="750"/>
      <c r="I31" s="750"/>
    </row>
    <row r="32">
      <c r="B32" s="750"/>
      <c r="C32" s="750"/>
      <c r="D32" s="750"/>
      <c r="E32" s="750"/>
      <c r="F32" s="750"/>
      <c r="G32" s="750"/>
      <c r="H32" s="750"/>
      <c r="I32" s="750"/>
    </row>
    <row r="33">
      <c r="A33" s="185" t="s">
        <v>787</v>
      </c>
    </row>
    <row r="34">
      <c r="B34" s="864" t="s">
        <v>766</v>
      </c>
      <c r="C34" s="865"/>
      <c r="E34" s="864" t="s">
        <v>767</v>
      </c>
      <c r="F34" s="865"/>
      <c r="H34" s="864" t="s">
        <v>768</v>
      </c>
      <c r="I34" s="865"/>
    </row>
    <row r="35">
      <c r="B35" s="866" t="s">
        <v>769</v>
      </c>
      <c r="C35" s="867" t="s">
        <v>128</v>
      </c>
      <c r="E35" s="866" t="s">
        <v>769</v>
      </c>
      <c r="F35" s="867" t="s">
        <v>128</v>
      </c>
      <c r="H35" s="866" t="s">
        <v>769</v>
      </c>
      <c r="I35" s="867" t="s">
        <v>128</v>
      </c>
    </row>
    <row r="36">
      <c r="A36" s="217" t="s">
        <v>770</v>
      </c>
      <c r="B36" s="868">
        <v>170.81</v>
      </c>
      <c r="C36" s="869">
        <v>1766.8</v>
      </c>
      <c r="D36" s="853"/>
      <c r="E36" s="870">
        <f t="shared" ref="E36:E49" si="4">B36+0.28</f>
        <v>171.09</v>
      </c>
      <c r="F36" s="869">
        <v>2215.95</v>
      </c>
      <c r="G36" s="853"/>
      <c r="H36" s="866">
        <v>116.58</v>
      </c>
      <c r="I36" s="869">
        <v>1892.61</v>
      </c>
    </row>
    <row r="37">
      <c r="A37" s="217" t="s">
        <v>771</v>
      </c>
      <c r="B37" s="868">
        <v>195.25</v>
      </c>
      <c r="C37" s="869">
        <v>1752.79</v>
      </c>
      <c r="D37" s="853"/>
      <c r="E37" s="870">
        <f t="shared" si="4"/>
        <v>195.53</v>
      </c>
      <c r="F37" s="869">
        <v>2194.84</v>
      </c>
      <c r="G37" s="853"/>
      <c r="H37" s="866">
        <v>116.58</v>
      </c>
      <c r="I37" s="869">
        <v>1877.29</v>
      </c>
    </row>
    <row r="38">
      <c r="A38" s="217" t="s">
        <v>772</v>
      </c>
      <c r="B38" s="868">
        <v>193.83</v>
      </c>
      <c r="C38" s="869">
        <v>1775.92</v>
      </c>
      <c r="D38" s="853"/>
      <c r="E38" s="870">
        <f t="shared" si="4"/>
        <v>194.11</v>
      </c>
      <c r="F38" s="869">
        <v>2224.29</v>
      </c>
      <c r="G38" s="853"/>
      <c r="H38" s="866">
        <v>116.58</v>
      </c>
      <c r="I38" s="869">
        <v>1882.53</v>
      </c>
    </row>
    <row r="39">
      <c r="A39" s="217" t="s">
        <v>773</v>
      </c>
      <c r="B39" s="868">
        <v>199.43</v>
      </c>
      <c r="C39" s="869">
        <v>1782.75</v>
      </c>
      <c r="D39" s="853"/>
      <c r="E39" s="870">
        <f t="shared" si="4"/>
        <v>199.71</v>
      </c>
      <c r="F39" s="869">
        <v>2235.45</v>
      </c>
      <c r="G39" s="853"/>
      <c r="H39" s="866">
        <v>116.58</v>
      </c>
      <c r="I39" s="869">
        <v>1886.54</v>
      </c>
    </row>
    <row r="40">
      <c r="A40" s="217" t="s">
        <v>774</v>
      </c>
      <c r="B40" s="868">
        <v>175.03</v>
      </c>
      <c r="C40" s="869">
        <v>1794.36</v>
      </c>
      <c r="D40" s="853"/>
      <c r="E40" s="870">
        <f t="shared" si="4"/>
        <v>175.31</v>
      </c>
      <c r="F40" s="869">
        <v>2248.79</v>
      </c>
      <c r="G40" s="853"/>
      <c r="H40" s="866">
        <v>116.58</v>
      </c>
      <c r="I40" s="869">
        <v>1908.27</v>
      </c>
    </row>
    <row r="41">
      <c r="A41" s="217" t="s">
        <v>775</v>
      </c>
      <c r="B41" s="868">
        <v>197.93</v>
      </c>
      <c r="C41" s="869">
        <v>1802.85</v>
      </c>
      <c r="D41" s="853"/>
      <c r="E41" s="870">
        <f t="shared" si="4"/>
        <v>198.21</v>
      </c>
      <c r="F41" s="869">
        <v>2253.54</v>
      </c>
      <c r="G41" s="853"/>
      <c r="H41" s="866">
        <v>116.58</v>
      </c>
      <c r="I41" s="869">
        <v>1886.52</v>
      </c>
    </row>
    <row r="42">
      <c r="A42" s="217" t="s">
        <v>776</v>
      </c>
      <c r="B42" s="868">
        <v>190.36</v>
      </c>
      <c r="C42" s="869">
        <v>1864.33</v>
      </c>
      <c r="D42" s="853"/>
      <c r="E42" s="870">
        <f t="shared" si="4"/>
        <v>190.64</v>
      </c>
      <c r="F42" s="869">
        <v>2325.92</v>
      </c>
      <c r="G42" s="853"/>
      <c r="H42" s="866">
        <v>116.58</v>
      </c>
      <c r="I42" s="869">
        <v>1894.54</v>
      </c>
    </row>
    <row r="43">
      <c r="A43" s="217" t="s">
        <v>777</v>
      </c>
      <c r="B43" s="868">
        <v>133.79</v>
      </c>
      <c r="C43" s="869">
        <v>1802.0</v>
      </c>
      <c r="D43" s="853"/>
      <c r="E43" s="870">
        <f t="shared" si="4"/>
        <v>134.07</v>
      </c>
      <c r="F43" s="869">
        <v>2262.71</v>
      </c>
      <c r="G43" s="853"/>
      <c r="H43" s="866">
        <v>116.58</v>
      </c>
      <c r="I43" s="869">
        <v>1914.58</v>
      </c>
    </row>
    <row r="44">
      <c r="A44" s="217" t="s">
        <v>778</v>
      </c>
      <c r="B44" s="868">
        <v>168.68</v>
      </c>
      <c r="C44" s="869">
        <v>1821.86</v>
      </c>
      <c r="D44" s="853"/>
      <c r="E44" s="870">
        <f t="shared" si="4"/>
        <v>168.96</v>
      </c>
      <c r="F44" s="869">
        <v>2275.95</v>
      </c>
      <c r="G44" s="853"/>
      <c r="H44" s="866">
        <v>116.58</v>
      </c>
      <c r="I44" s="869">
        <v>1888.76</v>
      </c>
    </row>
    <row r="45">
      <c r="A45" s="217" t="s">
        <v>779</v>
      </c>
      <c r="B45" s="868">
        <v>154.96</v>
      </c>
      <c r="C45" s="869">
        <v>1800.15</v>
      </c>
      <c r="D45" s="853"/>
      <c r="E45" s="870">
        <f t="shared" si="4"/>
        <v>155.24</v>
      </c>
      <c r="F45" s="869">
        <v>2253.72</v>
      </c>
      <c r="G45" s="853"/>
      <c r="H45" s="866">
        <v>116.58</v>
      </c>
      <c r="I45" s="869">
        <v>1890.47</v>
      </c>
    </row>
    <row r="46">
      <c r="A46" s="217" t="s">
        <v>780</v>
      </c>
      <c r="B46" s="868">
        <v>179.99</v>
      </c>
      <c r="C46" s="869">
        <v>1761.76</v>
      </c>
      <c r="D46" s="853"/>
      <c r="E46" s="870">
        <f t="shared" si="4"/>
        <v>180.27</v>
      </c>
      <c r="F46" s="869">
        <v>2209.59</v>
      </c>
      <c r="G46" s="853"/>
      <c r="H46" s="866">
        <v>116.58</v>
      </c>
      <c r="I46" s="869">
        <v>1881.76</v>
      </c>
    </row>
    <row r="47">
      <c r="A47" s="217" t="s">
        <v>781</v>
      </c>
      <c r="B47" s="868">
        <v>192.37</v>
      </c>
      <c r="C47" s="869">
        <v>1796.16</v>
      </c>
      <c r="D47" s="853"/>
      <c r="E47" s="870">
        <f t="shared" si="4"/>
        <v>192.65</v>
      </c>
      <c r="F47" s="869">
        <v>2250.72</v>
      </c>
      <c r="G47" s="853"/>
      <c r="H47" s="866">
        <v>116.58</v>
      </c>
      <c r="I47" s="869">
        <v>1893.43</v>
      </c>
    </row>
    <row r="48">
      <c r="A48" s="217" t="s">
        <v>782</v>
      </c>
      <c r="B48" s="868">
        <v>205.18</v>
      </c>
      <c r="C48" s="869">
        <v>1813.13</v>
      </c>
      <c r="D48" s="853"/>
      <c r="E48" s="870">
        <f t="shared" si="4"/>
        <v>205.46</v>
      </c>
      <c r="F48" s="869">
        <v>2263.6</v>
      </c>
      <c r="G48" s="853"/>
      <c r="H48" s="866">
        <v>116.58</v>
      </c>
      <c r="I48" s="869">
        <v>1904.51</v>
      </c>
    </row>
    <row r="49">
      <c r="A49" s="217" t="s">
        <v>783</v>
      </c>
      <c r="B49" s="868">
        <v>192.45</v>
      </c>
      <c r="C49" s="869">
        <v>1803.91</v>
      </c>
      <c r="D49" s="853"/>
      <c r="E49" s="870">
        <f t="shared" si="4"/>
        <v>192.73</v>
      </c>
      <c r="F49" s="869">
        <v>1159.07</v>
      </c>
      <c r="G49" s="853"/>
      <c r="H49" s="866">
        <v>116.58</v>
      </c>
      <c r="I49" s="869">
        <v>1900.51</v>
      </c>
    </row>
    <row r="50">
      <c r="A50" s="217" t="s">
        <v>784</v>
      </c>
      <c r="B50" s="871">
        <f t="shared" ref="B50:C50" si="5">AVERAGE(B36:B49)</f>
        <v>182.1471429</v>
      </c>
      <c r="C50" s="872">
        <f t="shared" si="5"/>
        <v>1795.626429</v>
      </c>
      <c r="D50" s="853"/>
      <c r="E50" s="871">
        <f t="shared" ref="E50:F50" si="6">AVERAGE(E36:E49)</f>
        <v>182.4271429</v>
      </c>
      <c r="F50" s="872">
        <f t="shared" si="6"/>
        <v>2169.581429</v>
      </c>
      <c r="G50" s="853"/>
      <c r="H50" s="871">
        <f t="shared" ref="H50:I50" si="7">AVERAGE(H36:H49)</f>
        <v>116.58</v>
      </c>
      <c r="I50" s="869">
        <f t="shared" si="7"/>
        <v>1893.022857</v>
      </c>
    </row>
    <row r="51">
      <c r="A51" s="217" t="s">
        <v>680</v>
      </c>
      <c r="B51" s="873"/>
      <c r="C51" s="874">
        <f>(C50-B50)/3100*100</f>
        <v>52.04771889</v>
      </c>
      <c r="D51" s="750"/>
      <c r="E51" s="873"/>
      <c r="F51" s="874">
        <f>(F50-E50)/4200*100</f>
        <v>47.31319728</v>
      </c>
      <c r="G51" s="750"/>
      <c r="H51" s="873"/>
      <c r="I51" s="874">
        <f>(I50-H50)/12000*100</f>
        <v>14.80369048</v>
      </c>
    </row>
    <row r="56">
      <c r="A56" s="185" t="s">
        <v>788</v>
      </c>
    </row>
    <row r="57">
      <c r="H57" s="302"/>
    </row>
    <row r="58">
      <c r="B58" s="847" t="s">
        <v>766</v>
      </c>
      <c r="C58" s="848"/>
      <c r="E58" s="864" t="s">
        <v>767</v>
      </c>
      <c r="F58" s="865"/>
      <c r="H58" s="864" t="s">
        <v>768</v>
      </c>
      <c r="I58" s="865"/>
    </row>
    <row r="59">
      <c r="B59" s="384" t="s">
        <v>769</v>
      </c>
      <c r="C59" s="403" t="s">
        <v>128</v>
      </c>
      <c r="E59" s="875" t="s">
        <v>769</v>
      </c>
      <c r="F59" s="876" t="s">
        <v>128</v>
      </c>
      <c r="H59" s="875" t="s">
        <v>769</v>
      </c>
      <c r="I59" s="876" t="s">
        <v>128</v>
      </c>
    </row>
    <row r="60">
      <c r="A60" s="217" t="str">
        <f t="shared" ref="A60:A73" si="8">A36</f>
        <v>North West</v>
      </c>
      <c r="B60" s="877">
        <v>166.49</v>
      </c>
      <c r="C60" s="878">
        <v>1037.86</v>
      </c>
      <c r="D60" s="853"/>
      <c r="E60" s="870">
        <f t="shared" ref="E60:E73" si="9">B60+0.27</f>
        <v>166.76</v>
      </c>
      <c r="F60" s="867">
        <v>1279.34</v>
      </c>
      <c r="G60" s="853"/>
      <c r="H60" s="866">
        <v>111.35</v>
      </c>
      <c r="I60" s="869">
        <v>995.29</v>
      </c>
    </row>
    <row r="61">
      <c r="A61" s="217" t="str">
        <f t="shared" si="8"/>
        <v>Northern</v>
      </c>
      <c r="B61" s="879">
        <v>190.93</v>
      </c>
      <c r="C61" s="878">
        <v>1033.38</v>
      </c>
      <c r="D61" s="853"/>
      <c r="E61" s="870">
        <f t="shared" si="9"/>
        <v>191.2</v>
      </c>
      <c r="F61" s="867">
        <v>1270.95</v>
      </c>
      <c r="G61" s="853"/>
      <c r="H61" s="866">
        <v>111.35</v>
      </c>
      <c r="I61" s="869">
        <v>981.22</v>
      </c>
    </row>
    <row r="62">
      <c r="A62" s="217" t="str">
        <f t="shared" si="8"/>
        <v>Yorkshire</v>
      </c>
      <c r="B62" s="877">
        <v>189.51</v>
      </c>
      <c r="C62" s="878">
        <v>1040.28</v>
      </c>
      <c r="D62" s="853"/>
      <c r="E62" s="870">
        <f t="shared" si="9"/>
        <v>189.78</v>
      </c>
      <c r="F62" s="867">
        <v>1280.83</v>
      </c>
      <c r="G62" s="853"/>
      <c r="H62" s="866">
        <v>111.35</v>
      </c>
      <c r="I62" s="869">
        <v>987.77</v>
      </c>
    </row>
    <row r="63">
      <c r="A63" s="217" t="str">
        <f t="shared" si="8"/>
        <v>Northern Scotland</v>
      </c>
      <c r="B63" s="877">
        <v>195.1</v>
      </c>
      <c r="C63" s="878">
        <v>1062.93</v>
      </c>
      <c r="D63" s="853"/>
      <c r="E63" s="870">
        <f t="shared" si="9"/>
        <v>195.37</v>
      </c>
      <c r="F63" s="867">
        <v>1310.7</v>
      </c>
      <c r="G63" s="853"/>
      <c r="H63" s="866">
        <v>111.35</v>
      </c>
      <c r="I63" s="869">
        <v>994.53</v>
      </c>
    </row>
    <row r="64">
      <c r="A64" s="217" t="str">
        <f t="shared" si="8"/>
        <v>Southern</v>
      </c>
      <c r="B64" s="877">
        <v>170.7</v>
      </c>
      <c r="C64" s="878">
        <v>1055.6</v>
      </c>
      <c r="D64" s="853"/>
      <c r="E64" s="870">
        <f t="shared" si="9"/>
        <v>170.97</v>
      </c>
      <c r="F64" s="867">
        <v>1298.91</v>
      </c>
      <c r="G64" s="853"/>
      <c r="H64" s="866">
        <v>111.35</v>
      </c>
      <c r="I64" s="869">
        <v>1011.8</v>
      </c>
    </row>
    <row r="65">
      <c r="A65" s="217" t="str">
        <f t="shared" si="8"/>
        <v>Southern Scotland</v>
      </c>
      <c r="B65" s="877">
        <v>193.61</v>
      </c>
      <c r="C65" s="878">
        <v>1059.3</v>
      </c>
      <c r="D65" s="853"/>
      <c r="E65" s="870">
        <f t="shared" si="9"/>
        <v>193.88</v>
      </c>
      <c r="F65" s="867">
        <v>1300.5</v>
      </c>
      <c r="G65" s="853"/>
      <c r="H65" s="866">
        <v>111.35</v>
      </c>
      <c r="I65" s="869">
        <v>994.5</v>
      </c>
    </row>
    <row r="66">
      <c r="A66" s="217" t="str">
        <f t="shared" si="8"/>
        <v>N Wales and Mersey</v>
      </c>
      <c r="B66" s="877">
        <v>186.04</v>
      </c>
      <c r="C66" s="878">
        <v>1106.07</v>
      </c>
      <c r="D66" s="853"/>
      <c r="E66" s="870">
        <f t="shared" si="9"/>
        <v>186.31</v>
      </c>
      <c r="F66" s="867">
        <v>1353.32</v>
      </c>
      <c r="G66" s="853"/>
      <c r="H66" s="866">
        <v>111.35</v>
      </c>
      <c r="I66" s="869">
        <v>998.02</v>
      </c>
    </row>
    <row r="67">
      <c r="A67" s="217" t="str">
        <f t="shared" si="8"/>
        <v>London</v>
      </c>
      <c r="B67" s="877">
        <v>129.47</v>
      </c>
      <c r="C67" s="878">
        <v>1051.0</v>
      </c>
      <c r="D67" s="853"/>
      <c r="E67" s="870">
        <f t="shared" si="9"/>
        <v>129.74</v>
      </c>
      <c r="F67" s="867">
        <v>1297.59</v>
      </c>
      <c r="G67" s="853"/>
      <c r="H67" s="866">
        <v>111.35</v>
      </c>
      <c r="I67" s="869">
        <v>1016.31</v>
      </c>
    </row>
    <row r="68">
      <c r="A68" s="217" t="str">
        <f t="shared" si="8"/>
        <v>South East</v>
      </c>
      <c r="B68" s="877">
        <v>164.36</v>
      </c>
      <c r="C68" s="878">
        <v>1081.28</v>
      </c>
      <c r="D68" s="853"/>
      <c r="E68" s="870">
        <f t="shared" si="9"/>
        <v>164.63</v>
      </c>
      <c r="F68" s="867">
        <v>1323.38</v>
      </c>
      <c r="G68" s="853"/>
      <c r="H68" s="866">
        <v>111.35</v>
      </c>
      <c r="I68" s="869">
        <v>992.48</v>
      </c>
    </row>
    <row r="69">
      <c r="A69" s="217" t="str">
        <f t="shared" si="8"/>
        <v>Eastern</v>
      </c>
      <c r="B69" s="877">
        <v>150.64</v>
      </c>
      <c r="C69" s="878">
        <v>1059.96</v>
      </c>
      <c r="D69" s="853"/>
      <c r="E69" s="870">
        <f t="shared" si="9"/>
        <v>150.91</v>
      </c>
      <c r="F69" s="867">
        <v>1302.01</v>
      </c>
      <c r="G69" s="853"/>
      <c r="H69" s="866">
        <v>111.35</v>
      </c>
      <c r="I69" s="869">
        <v>995.43</v>
      </c>
    </row>
    <row r="70">
      <c r="A70" s="217" t="str">
        <f t="shared" si="8"/>
        <v>East Midlands</v>
      </c>
      <c r="B70" s="877">
        <v>175.67</v>
      </c>
      <c r="C70" s="878">
        <v>1034.82</v>
      </c>
      <c r="D70" s="853"/>
      <c r="E70" s="870">
        <f t="shared" si="9"/>
        <v>175.94</v>
      </c>
      <c r="F70" s="867">
        <v>1275.02</v>
      </c>
      <c r="G70" s="853"/>
      <c r="H70" s="866">
        <v>111.35</v>
      </c>
      <c r="I70" s="869">
        <v>988.03</v>
      </c>
    </row>
    <row r="71">
      <c r="A71" s="217" t="str">
        <f t="shared" si="8"/>
        <v>Midlands</v>
      </c>
      <c r="B71" s="877">
        <v>188.05</v>
      </c>
      <c r="C71" s="878">
        <v>1054.58</v>
      </c>
      <c r="D71" s="853"/>
      <c r="E71" s="870">
        <f t="shared" si="9"/>
        <v>188.32</v>
      </c>
      <c r="F71" s="867">
        <v>1297.98</v>
      </c>
      <c r="G71" s="853"/>
      <c r="H71" s="866">
        <v>111.35</v>
      </c>
      <c r="I71" s="869">
        <v>998.24</v>
      </c>
    </row>
    <row r="72">
      <c r="A72" s="217" t="str">
        <f t="shared" si="8"/>
        <v>Southern Western</v>
      </c>
      <c r="B72" s="877">
        <v>200.86</v>
      </c>
      <c r="C72" s="878">
        <v>1084.31</v>
      </c>
      <c r="D72" s="853"/>
      <c r="E72" s="870">
        <f t="shared" si="9"/>
        <v>201.13</v>
      </c>
      <c r="F72" s="867">
        <v>1325.08</v>
      </c>
      <c r="G72" s="853"/>
      <c r="H72" s="866">
        <v>111.35</v>
      </c>
      <c r="I72" s="869">
        <v>1011.39</v>
      </c>
    </row>
    <row r="73">
      <c r="A73" s="217" t="str">
        <f t="shared" si="8"/>
        <v>S Wales</v>
      </c>
      <c r="B73" s="877">
        <v>188.13</v>
      </c>
      <c r="C73" s="878">
        <v>1067.87</v>
      </c>
      <c r="D73" s="853"/>
      <c r="E73" s="870">
        <f t="shared" si="9"/>
        <v>188.4</v>
      </c>
      <c r="F73" s="867">
        <v>1312.13</v>
      </c>
      <c r="G73" s="853"/>
      <c r="H73" s="866">
        <v>111.35</v>
      </c>
      <c r="I73" s="869">
        <v>1007.47</v>
      </c>
    </row>
    <row r="74">
      <c r="A74" s="217" t="s">
        <v>784</v>
      </c>
      <c r="B74" s="880">
        <f t="shared" ref="B74:C74" si="10">AVERAGE(B60:B73)</f>
        <v>177.8257143</v>
      </c>
      <c r="C74" s="881">
        <f t="shared" si="10"/>
        <v>1059.231429</v>
      </c>
      <c r="D74" s="853"/>
      <c r="E74" s="871">
        <f t="shared" ref="E74:F74" si="11">AVERAGE(E60:E73)</f>
        <v>178.0957143</v>
      </c>
      <c r="F74" s="872">
        <f t="shared" si="11"/>
        <v>1301.981429</v>
      </c>
      <c r="G74" s="853"/>
      <c r="H74" s="871">
        <f t="shared" ref="H74:I74" si="12">AVERAGE(H60:H73)</f>
        <v>111.35</v>
      </c>
      <c r="I74" s="869">
        <f t="shared" si="12"/>
        <v>998.0342857</v>
      </c>
    </row>
    <row r="75">
      <c r="A75" s="217" t="s">
        <v>680</v>
      </c>
      <c r="B75" s="882"/>
      <c r="C75" s="883">
        <f>(C74-B74)/3100*100</f>
        <v>28.4324424</v>
      </c>
      <c r="D75" s="750"/>
      <c r="E75" s="873"/>
      <c r="F75" s="874">
        <f>(F74-E74)/4200*100</f>
        <v>26.75918367</v>
      </c>
      <c r="G75" s="750"/>
      <c r="H75" s="873"/>
      <c r="I75" s="874">
        <f>(I74-H74)/12000*100</f>
        <v>7.389035714</v>
      </c>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11"/>
    <col customWidth="1" min="2" max="2" width="11.0"/>
    <col customWidth="1" min="3" max="3" width="43.33"/>
    <col customWidth="1" min="4" max="26" width="11.0"/>
  </cols>
  <sheetData>
    <row r="1" ht="30.0" customHeight="1">
      <c r="A1" s="132" t="s">
        <v>789</v>
      </c>
      <c r="B1" s="570" t="s">
        <v>790</v>
      </c>
      <c r="C1" s="132" t="s">
        <v>791</v>
      </c>
      <c r="D1" s="132" t="s">
        <v>792</v>
      </c>
      <c r="E1" s="18"/>
      <c r="F1" s="18"/>
      <c r="G1" s="18"/>
      <c r="H1" s="18"/>
      <c r="I1" s="18"/>
      <c r="J1" s="18"/>
      <c r="K1" s="18"/>
    </row>
    <row r="2" ht="30.0" customHeight="1">
      <c r="A2" s="217" t="s">
        <v>291</v>
      </c>
      <c r="B2" s="143" t="s">
        <v>793</v>
      </c>
      <c r="C2" s="234" t="s">
        <v>794</v>
      </c>
      <c r="D2" s="884" t="s">
        <v>795</v>
      </c>
    </row>
    <row r="3">
      <c r="A3" s="217" t="s">
        <v>796</v>
      </c>
      <c r="B3" s="143">
        <v>2021.0</v>
      </c>
      <c r="C3" s="217" t="s">
        <v>797</v>
      </c>
      <c r="D3" s="884" t="s">
        <v>798</v>
      </c>
    </row>
    <row r="4">
      <c r="A4" s="217" t="s">
        <v>685</v>
      </c>
      <c r="B4" s="143">
        <v>2022.0</v>
      </c>
      <c r="C4" s="217" t="s">
        <v>799</v>
      </c>
      <c r="D4" s="217" t="s">
        <v>800</v>
      </c>
    </row>
    <row r="5" ht="30.0" customHeight="1">
      <c r="A5" s="217" t="s">
        <v>801</v>
      </c>
      <c r="B5" s="143">
        <v>2020.0</v>
      </c>
      <c r="C5" s="217" t="s">
        <v>802</v>
      </c>
      <c r="D5" s="217" t="s">
        <v>803</v>
      </c>
    </row>
    <row r="6" ht="30.0" customHeight="1">
      <c r="A6" s="217" t="s">
        <v>628</v>
      </c>
      <c r="B6" s="143">
        <v>2017.0</v>
      </c>
      <c r="C6" s="217" t="s">
        <v>804</v>
      </c>
      <c r="D6" s="217" t="s">
        <v>805</v>
      </c>
    </row>
    <row r="7">
      <c r="A7" s="217" t="s">
        <v>623</v>
      </c>
      <c r="B7" s="143">
        <v>2017.0</v>
      </c>
      <c r="C7" s="217" t="s">
        <v>806</v>
      </c>
      <c r="D7" s="217" t="s">
        <v>807</v>
      </c>
    </row>
    <row r="8">
      <c r="A8" s="217" t="s">
        <v>165</v>
      </c>
      <c r="B8" s="143">
        <v>2019.0</v>
      </c>
      <c r="C8" s="217" t="s">
        <v>808</v>
      </c>
      <c r="D8" s="217" t="s">
        <v>809</v>
      </c>
    </row>
    <row r="9">
      <c r="A9" s="217" t="s">
        <v>698</v>
      </c>
      <c r="B9" s="885">
        <v>44621.0</v>
      </c>
      <c r="C9" s="217" t="s">
        <v>810</v>
      </c>
      <c r="D9" s="217" t="s">
        <v>811</v>
      </c>
    </row>
    <row r="10">
      <c r="A10" s="217" t="s">
        <v>812</v>
      </c>
      <c r="B10" s="143">
        <v>2021.0</v>
      </c>
      <c r="C10" s="217" t="s">
        <v>813</v>
      </c>
      <c r="D10" s="886" t="s">
        <v>814</v>
      </c>
    </row>
    <row r="11">
      <c r="A11" s="217" t="s">
        <v>738</v>
      </c>
      <c r="B11" s="143">
        <v>2021.0</v>
      </c>
      <c r="C11" s="217" t="s">
        <v>815</v>
      </c>
      <c r="D11" s="887" t="s">
        <v>816</v>
      </c>
    </row>
    <row r="12">
      <c r="A12" s="217" t="s">
        <v>786</v>
      </c>
      <c r="B12" s="143">
        <v>2022.0</v>
      </c>
      <c r="C12" s="217" t="s">
        <v>817</v>
      </c>
      <c r="D12" s="887" t="s">
        <v>818</v>
      </c>
    </row>
    <row r="13">
      <c r="A13" s="217" t="s">
        <v>819</v>
      </c>
      <c r="B13" s="143">
        <v>2022.0</v>
      </c>
      <c r="D13" s="887"/>
    </row>
    <row r="14">
      <c r="A14" s="217" t="s">
        <v>674</v>
      </c>
      <c r="B14" s="143">
        <v>2020.0</v>
      </c>
      <c r="C14" s="217" t="s">
        <v>820</v>
      </c>
      <c r="D14" s="884" t="s">
        <v>821</v>
      </c>
    </row>
    <row r="15">
      <c r="A15" s="217" t="s">
        <v>166</v>
      </c>
      <c r="B15" s="143">
        <v>2018.0</v>
      </c>
      <c r="C15" s="217" t="s">
        <v>822</v>
      </c>
      <c r="D15" s="217" t="s">
        <v>823</v>
      </c>
    </row>
    <row r="16">
      <c r="A16" s="217" t="s">
        <v>824</v>
      </c>
      <c r="B16" s="143">
        <v>2022.0</v>
      </c>
      <c r="C16" s="217" t="s">
        <v>825</v>
      </c>
      <c r="D16" s="217" t="s">
        <v>826</v>
      </c>
    </row>
    <row r="17">
      <c r="A17" s="217" t="s">
        <v>163</v>
      </c>
      <c r="B17" s="143" t="s">
        <v>827</v>
      </c>
      <c r="C17" s="217" t="s">
        <v>828</v>
      </c>
      <c r="D17" s="884" t="s">
        <v>829</v>
      </c>
    </row>
    <row r="18">
      <c r="A18" s="217" t="s">
        <v>830</v>
      </c>
      <c r="B18" s="143">
        <v>2017.0</v>
      </c>
      <c r="C18" s="217" t="s">
        <v>831</v>
      </c>
      <c r="D18" s="217" t="s">
        <v>832</v>
      </c>
    </row>
    <row r="19">
      <c r="A19" s="217" t="s">
        <v>748</v>
      </c>
      <c r="B19" s="143">
        <v>2017.0</v>
      </c>
      <c r="C19" s="217" t="s">
        <v>833</v>
      </c>
      <c r="D19" s="884" t="s">
        <v>834</v>
      </c>
    </row>
    <row r="20">
      <c r="A20" s="217" t="s">
        <v>835</v>
      </c>
      <c r="B20" s="143">
        <v>2018.0</v>
      </c>
      <c r="C20" s="217" t="s">
        <v>836</v>
      </c>
      <c r="D20" s="217" t="s">
        <v>837</v>
      </c>
    </row>
    <row r="21">
      <c r="A21" s="217" t="s">
        <v>838</v>
      </c>
      <c r="B21" s="143">
        <v>2021.0</v>
      </c>
      <c r="C21" s="217" t="s">
        <v>839</v>
      </c>
      <c r="D21" s="217" t="s">
        <v>840</v>
      </c>
    </row>
    <row r="22">
      <c r="A22" s="30" t="s">
        <v>760</v>
      </c>
      <c r="B22" s="143">
        <v>2023.0</v>
      </c>
      <c r="C22" s="217" t="s">
        <v>841</v>
      </c>
      <c r="D22" s="217" t="s">
        <v>842</v>
      </c>
    </row>
    <row r="23">
      <c r="A23" s="217" t="s">
        <v>843</v>
      </c>
      <c r="B23" s="143">
        <v>2021.0</v>
      </c>
      <c r="C23" s="234" t="s">
        <v>844</v>
      </c>
      <c r="D23" s="886" t="s">
        <v>845</v>
      </c>
    </row>
    <row r="24">
      <c r="A24" s="217" t="s">
        <v>688</v>
      </c>
      <c r="B24" s="143">
        <v>2021.0</v>
      </c>
      <c r="C24" s="217" t="s">
        <v>846</v>
      </c>
      <c r="D24" s="888" t="s">
        <v>847</v>
      </c>
    </row>
    <row r="25">
      <c r="A25" s="217" t="s">
        <v>848</v>
      </c>
      <c r="B25" s="143">
        <v>2022.0</v>
      </c>
      <c r="C25" s="217" t="s">
        <v>849</v>
      </c>
      <c r="D25" s="884" t="s">
        <v>850</v>
      </c>
    </row>
    <row r="26">
      <c r="A26" s="217" t="s">
        <v>848</v>
      </c>
      <c r="B26" s="143">
        <v>2023.0</v>
      </c>
      <c r="C26" s="217" t="s">
        <v>851</v>
      </c>
      <c r="D26" s="884" t="s">
        <v>852</v>
      </c>
    </row>
    <row r="27">
      <c r="A27" s="217" t="s">
        <v>853</v>
      </c>
      <c r="B27" s="143">
        <v>2022.0</v>
      </c>
      <c r="C27" s="217" t="s">
        <v>854</v>
      </c>
      <c r="D27" s="884" t="s">
        <v>855</v>
      </c>
    </row>
    <row r="28">
      <c r="A28" s="217" t="s">
        <v>856</v>
      </c>
      <c r="B28" s="143">
        <v>2009.0</v>
      </c>
      <c r="C28" s="217" t="s">
        <v>857</v>
      </c>
      <c r="D28" s="884" t="s">
        <v>858</v>
      </c>
    </row>
    <row r="29">
      <c r="A29" s="217" t="s">
        <v>619</v>
      </c>
      <c r="B29" s="143">
        <v>2021.0</v>
      </c>
      <c r="C29" s="217" t="s">
        <v>859</v>
      </c>
      <c r="D29" s="884" t="s">
        <v>860</v>
      </c>
    </row>
    <row r="30">
      <c r="A30" s="217" t="s">
        <v>861</v>
      </c>
      <c r="B30" s="143">
        <v>2017.0</v>
      </c>
      <c r="C30" s="217" t="s">
        <v>862</v>
      </c>
      <c r="D30" s="217" t="s">
        <v>863</v>
      </c>
    </row>
    <row r="31">
      <c r="A31" s="217" t="s">
        <v>864</v>
      </c>
      <c r="B31" s="143">
        <v>2022.0</v>
      </c>
      <c r="C31" s="217" t="s">
        <v>865</v>
      </c>
    </row>
    <row r="32">
      <c r="A32" s="217" t="s">
        <v>343</v>
      </c>
      <c r="B32" s="143">
        <v>2022.0</v>
      </c>
      <c r="C32" s="217" t="s">
        <v>866</v>
      </c>
    </row>
    <row r="33">
      <c r="A33" s="217" t="s">
        <v>745</v>
      </c>
      <c r="B33" s="143">
        <v>2022.0</v>
      </c>
      <c r="C33" s="217" t="s">
        <v>867</v>
      </c>
      <c r="D33" s="884" t="s">
        <v>868</v>
      </c>
    </row>
    <row r="34">
      <c r="A34" s="217" t="s">
        <v>869</v>
      </c>
      <c r="B34" s="143">
        <v>2022.0</v>
      </c>
      <c r="C34" s="217" t="s">
        <v>870</v>
      </c>
      <c r="D34" s="217" t="s">
        <v>871</v>
      </c>
    </row>
    <row r="35">
      <c r="A35" s="217" t="s">
        <v>872</v>
      </c>
      <c r="B35" s="143">
        <v>2022.0</v>
      </c>
      <c r="C35" s="217" t="s">
        <v>873</v>
      </c>
      <c r="D35" s="217" t="s">
        <v>874</v>
      </c>
    </row>
    <row r="36">
      <c r="A36" s="217" t="s">
        <v>875</v>
      </c>
      <c r="B36" s="143">
        <v>2022.0</v>
      </c>
      <c r="C36" s="217" t="s">
        <v>876</v>
      </c>
      <c r="D36" s="217" t="s">
        <v>874</v>
      </c>
    </row>
    <row r="37">
      <c r="A37" s="217" t="s">
        <v>746</v>
      </c>
      <c r="B37" s="143">
        <v>2019.0</v>
      </c>
      <c r="C37" s="217" t="s">
        <v>877</v>
      </c>
      <c r="D37" s="888" t="s">
        <v>878</v>
      </c>
    </row>
  </sheetData>
  <hyperlinks>
    <hyperlink r:id="rId1" ref="D2"/>
    <hyperlink r:id="rId2" ref="D3"/>
    <hyperlink r:id="rId3" ref="D10"/>
    <hyperlink r:id="rId4" ref="D11"/>
    <hyperlink r:id="rId5" ref="D14"/>
    <hyperlink r:id="rId6" ref="D17"/>
    <hyperlink r:id="rId7" ref="D19"/>
    <hyperlink r:id="rId8" ref="D23"/>
    <hyperlink r:id="rId9" ref="D24"/>
    <hyperlink r:id="rId10" ref="D25"/>
    <hyperlink r:id="rId11" ref="D27"/>
    <hyperlink r:id="rId12" ref="D28"/>
    <hyperlink r:id="rId13" ref="D33"/>
    <hyperlink r:id="rId14" ref="D37"/>
  </hyperlinks>
  <printOptions/>
  <pageMargins bottom="0.75" footer="0.0" header="0.0" left="0.7" right="0.7" top="0.75"/>
  <pageSetup orientation="landscape"/>
  <drawing r:id="rId15"/>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1.0"/>
    <col customWidth="1" min="2" max="2" width="44.44"/>
    <col customWidth="1" min="3" max="3" width="42.44"/>
    <col customWidth="1" min="4" max="26" width="10.44"/>
  </cols>
  <sheetData>
    <row r="1">
      <c r="A1" s="575" t="s">
        <v>879</v>
      </c>
      <c r="B1" s="479"/>
      <c r="C1" s="479"/>
    </row>
    <row r="2">
      <c r="A2" s="480" t="s">
        <v>880</v>
      </c>
      <c r="B2" s="480"/>
      <c r="C2" s="480"/>
    </row>
    <row r="3">
      <c r="A3" s="480"/>
      <c r="B3" s="480"/>
      <c r="C3" s="480"/>
    </row>
    <row r="4">
      <c r="A4" s="575" t="s">
        <v>881</v>
      </c>
      <c r="B4" s="479"/>
      <c r="C4" s="479"/>
    </row>
    <row r="5">
      <c r="A5" s="480"/>
      <c r="B5" s="480"/>
      <c r="C5" s="480"/>
    </row>
    <row r="6">
      <c r="A6" s="480" t="s">
        <v>882</v>
      </c>
      <c r="B6" s="480"/>
      <c r="C6" s="480"/>
    </row>
    <row r="7">
      <c r="A7" s="889"/>
      <c r="B7" s="890" t="s">
        <v>883</v>
      </c>
      <c r="C7" s="890" t="s">
        <v>884</v>
      </c>
    </row>
    <row r="8">
      <c r="A8" s="891" t="s">
        <v>885</v>
      </c>
      <c r="B8" s="891" t="s">
        <v>886</v>
      </c>
      <c r="C8" s="891" t="s">
        <v>887</v>
      </c>
    </row>
    <row r="9">
      <c r="A9" s="891" t="s">
        <v>888</v>
      </c>
      <c r="B9" s="891" t="s">
        <v>889</v>
      </c>
      <c r="C9" s="891" t="s">
        <v>890</v>
      </c>
    </row>
    <row r="10">
      <c r="A10" s="891" t="s">
        <v>891</v>
      </c>
      <c r="B10" s="891" t="s">
        <v>892</v>
      </c>
      <c r="C10" s="891" t="s">
        <v>893</v>
      </c>
    </row>
    <row r="11">
      <c r="A11" s="891" t="s">
        <v>894</v>
      </c>
      <c r="B11" s="891" t="s">
        <v>895</v>
      </c>
      <c r="C11" s="891" t="s">
        <v>896</v>
      </c>
    </row>
    <row r="12">
      <c r="A12" s="891" t="s">
        <v>897</v>
      </c>
      <c r="B12" s="891" t="s">
        <v>898</v>
      </c>
      <c r="C12" s="891" t="s">
        <v>899</v>
      </c>
    </row>
    <row r="13">
      <c r="A13" s="480"/>
      <c r="B13" s="480"/>
      <c r="C13" s="480"/>
    </row>
    <row r="14">
      <c r="A14" s="480"/>
      <c r="B14" s="480"/>
      <c r="C14" s="480"/>
    </row>
    <row r="15">
      <c r="A15" s="480"/>
      <c r="B15" s="480"/>
      <c r="C15" s="480"/>
    </row>
    <row r="16">
      <c r="A16" s="480"/>
      <c r="B16" s="480"/>
      <c r="C16" s="480"/>
    </row>
    <row r="17">
      <c r="A17" s="480"/>
      <c r="B17" s="480"/>
      <c r="C17" s="480"/>
    </row>
    <row r="18">
      <c r="A18" s="480"/>
      <c r="B18" s="480"/>
      <c r="C18" s="480"/>
    </row>
    <row r="19">
      <c r="A19" s="480"/>
      <c r="B19" s="480"/>
      <c r="C19" s="480"/>
    </row>
    <row r="20">
      <c r="A20" s="480"/>
      <c r="B20" s="480"/>
      <c r="C20" s="480"/>
    </row>
    <row r="21">
      <c r="A21" s="480"/>
      <c r="B21" s="480"/>
      <c r="C21" s="480"/>
    </row>
    <row r="22">
      <c r="A22" s="480"/>
      <c r="B22" s="480"/>
      <c r="C22" s="480"/>
    </row>
    <row r="23">
      <c r="A23" s="480"/>
      <c r="B23" s="480"/>
      <c r="C23" s="480"/>
    </row>
    <row r="24">
      <c r="A24" s="480"/>
      <c r="B24" s="480"/>
      <c r="C24" s="480"/>
    </row>
    <row r="25">
      <c r="A25" s="480"/>
      <c r="B25" s="480"/>
      <c r="C25" s="480"/>
    </row>
    <row r="26">
      <c r="A26" s="480"/>
      <c r="B26" s="480"/>
      <c r="C26" s="480"/>
    </row>
    <row r="27">
      <c r="A27" s="480"/>
      <c r="B27" s="480"/>
      <c r="C27" s="480"/>
    </row>
    <row r="28">
      <c r="A28" s="480"/>
      <c r="B28" s="480"/>
      <c r="C28" s="480"/>
    </row>
    <row r="29">
      <c r="A29" s="480"/>
      <c r="B29" s="480"/>
      <c r="C29" s="480"/>
    </row>
    <row r="30">
      <c r="A30" s="480"/>
      <c r="B30" s="480"/>
      <c r="C30" s="480"/>
    </row>
    <row r="31">
      <c r="A31" s="480"/>
      <c r="B31" s="480"/>
      <c r="C31" s="480"/>
    </row>
    <row r="32">
      <c r="A32" s="480"/>
      <c r="B32" s="480"/>
      <c r="C32" s="480"/>
    </row>
    <row r="33">
      <c r="A33" s="480"/>
      <c r="B33" s="480"/>
      <c r="C33" s="480"/>
    </row>
    <row r="34">
      <c r="A34" s="480"/>
      <c r="B34" s="480"/>
      <c r="C34" s="480"/>
    </row>
    <row r="35">
      <c r="A35" s="480"/>
      <c r="B35" s="480"/>
      <c r="C35" s="480"/>
    </row>
    <row r="36">
      <c r="A36" s="480"/>
      <c r="B36" s="480"/>
      <c r="C36" s="480"/>
    </row>
    <row r="37">
      <c r="A37" s="480"/>
      <c r="B37" s="480"/>
      <c r="C37" s="480"/>
    </row>
    <row r="38">
      <c r="A38" s="480"/>
      <c r="B38" s="480"/>
      <c r="C38" s="480"/>
    </row>
    <row r="39">
      <c r="A39" s="480"/>
      <c r="B39" s="480"/>
      <c r="C39" s="480"/>
    </row>
    <row r="40">
      <c r="A40" s="480"/>
      <c r="B40" s="480"/>
      <c r="C40" s="480"/>
    </row>
    <row r="41">
      <c r="A41" s="480"/>
      <c r="B41" s="480"/>
      <c r="C41" s="480"/>
    </row>
    <row r="42">
      <c r="A42" s="480"/>
      <c r="B42" s="480"/>
      <c r="C42" s="480"/>
    </row>
    <row r="43">
      <c r="A43" s="480"/>
      <c r="B43" s="480"/>
      <c r="C43" s="480"/>
    </row>
    <row r="44">
      <c r="A44" s="480"/>
      <c r="B44" s="480"/>
      <c r="C44" s="480"/>
    </row>
    <row r="45">
      <c r="A45" s="480"/>
      <c r="B45" s="480"/>
      <c r="C45" s="480"/>
    </row>
    <row r="46">
      <c r="A46" s="480"/>
      <c r="B46" s="480"/>
      <c r="C46" s="480"/>
    </row>
    <row r="47">
      <c r="A47" s="480"/>
      <c r="B47" s="480"/>
      <c r="C47" s="480"/>
    </row>
    <row r="48">
      <c r="A48" s="480"/>
      <c r="B48" s="480"/>
      <c r="C48" s="480"/>
    </row>
    <row r="49">
      <c r="A49" s="480"/>
      <c r="B49" s="480"/>
      <c r="C49" s="480"/>
    </row>
    <row r="50">
      <c r="A50" s="480"/>
      <c r="B50" s="480"/>
      <c r="C50" s="480"/>
    </row>
    <row r="51">
      <c r="A51" s="480"/>
      <c r="B51" s="480"/>
      <c r="C51" s="480"/>
    </row>
    <row r="52">
      <c r="A52" s="480"/>
      <c r="B52" s="480"/>
      <c r="C52" s="480"/>
    </row>
    <row r="53">
      <c r="A53" s="480"/>
      <c r="B53" s="480"/>
      <c r="C53" s="480"/>
    </row>
    <row r="54">
      <c r="A54" s="480"/>
      <c r="B54" s="480"/>
      <c r="C54" s="480"/>
    </row>
    <row r="55">
      <c r="A55" s="480"/>
      <c r="B55" s="480"/>
      <c r="C55" s="480"/>
    </row>
    <row r="56">
      <c r="A56" s="480"/>
      <c r="B56" s="480"/>
      <c r="C56" s="480"/>
    </row>
    <row r="57">
      <c r="A57" s="480"/>
      <c r="B57" s="480"/>
      <c r="C57" s="480"/>
    </row>
    <row r="58">
      <c r="A58" s="480"/>
      <c r="B58" s="480"/>
      <c r="C58" s="480"/>
    </row>
    <row r="59">
      <c r="A59" s="480"/>
      <c r="B59" s="480"/>
      <c r="C59" s="480"/>
    </row>
    <row r="60">
      <c r="A60" s="480"/>
      <c r="B60" s="480"/>
      <c r="C60" s="480"/>
    </row>
    <row r="61">
      <c r="A61" s="480"/>
      <c r="B61" s="480"/>
      <c r="C61" s="480"/>
    </row>
    <row r="62">
      <c r="A62" s="480"/>
      <c r="B62" s="480"/>
      <c r="C62" s="480"/>
    </row>
    <row r="63">
      <c r="A63" s="480"/>
      <c r="B63" s="480"/>
      <c r="C63" s="480"/>
    </row>
    <row r="64">
      <c r="A64" s="480"/>
      <c r="B64" s="480"/>
      <c r="C64" s="480"/>
    </row>
    <row r="65">
      <c r="A65" s="480"/>
      <c r="B65" s="480"/>
      <c r="C65" s="480"/>
    </row>
    <row r="66">
      <c r="A66" s="480"/>
      <c r="B66" s="480"/>
      <c r="C66" s="480"/>
    </row>
    <row r="67">
      <c r="A67" s="480"/>
      <c r="B67" s="480"/>
      <c r="C67" s="480"/>
    </row>
    <row r="68">
      <c r="A68" s="480"/>
      <c r="B68" s="480"/>
      <c r="C68" s="480"/>
    </row>
    <row r="69">
      <c r="A69" s="480"/>
      <c r="B69" s="480"/>
      <c r="C69" s="480"/>
    </row>
    <row r="70">
      <c r="A70" s="480"/>
      <c r="B70" s="480"/>
      <c r="C70" s="480"/>
    </row>
    <row r="71">
      <c r="A71" s="480"/>
      <c r="B71" s="480"/>
      <c r="C71" s="480"/>
    </row>
    <row r="72">
      <c r="A72" s="480"/>
      <c r="B72" s="480"/>
      <c r="C72" s="480"/>
    </row>
    <row r="73">
      <c r="A73" s="480"/>
      <c r="B73" s="480"/>
      <c r="C73" s="480"/>
    </row>
    <row r="74">
      <c r="A74" s="480"/>
      <c r="B74" s="480"/>
      <c r="C74" s="480"/>
    </row>
    <row r="75">
      <c r="A75" s="480"/>
      <c r="B75" s="480"/>
      <c r="C75" s="480"/>
    </row>
    <row r="76">
      <c r="A76" s="480"/>
      <c r="B76" s="480"/>
      <c r="C76" s="480"/>
    </row>
    <row r="77">
      <c r="A77" s="480"/>
      <c r="B77" s="480"/>
      <c r="C77" s="480"/>
    </row>
    <row r="78">
      <c r="A78" s="480"/>
      <c r="B78" s="480"/>
      <c r="C78" s="480"/>
    </row>
    <row r="79">
      <c r="A79" s="480"/>
      <c r="B79" s="480"/>
      <c r="C79" s="480"/>
    </row>
    <row r="80">
      <c r="A80" s="480"/>
      <c r="B80" s="480"/>
      <c r="C80" s="480"/>
    </row>
    <row r="81">
      <c r="A81" s="480"/>
      <c r="B81" s="480"/>
      <c r="C81" s="480"/>
    </row>
    <row r="82">
      <c r="A82" s="480"/>
      <c r="B82" s="480"/>
      <c r="C82" s="480"/>
    </row>
    <row r="83">
      <c r="A83" s="480"/>
      <c r="B83" s="480"/>
      <c r="C83" s="480"/>
    </row>
    <row r="84">
      <c r="A84" s="480"/>
      <c r="B84" s="480"/>
      <c r="C84" s="480"/>
    </row>
    <row r="85">
      <c r="A85" s="480"/>
      <c r="B85" s="480"/>
      <c r="C85" s="480"/>
    </row>
    <row r="86">
      <c r="A86" s="480"/>
      <c r="B86" s="480"/>
      <c r="C86" s="480"/>
    </row>
    <row r="87">
      <c r="A87" s="480"/>
      <c r="B87" s="480"/>
      <c r="C87" s="480"/>
    </row>
    <row r="88">
      <c r="A88" s="480"/>
      <c r="B88" s="480"/>
      <c r="C88" s="480"/>
    </row>
    <row r="89">
      <c r="A89" s="480"/>
      <c r="B89" s="480"/>
      <c r="C89" s="480"/>
    </row>
    <row r="90">
      <c r="A90" s="480"/>
      <c r="B90" s="480"/>
      <c r="C90" s="480"/>
    </row>
    <row r="91">
      <c r="A91" s="480"/>
      <c r="B91" s="480"/>
      <c r="C91" s="480"/>
    </row>
    <row r="92">
      <c r="A92" s="480"/>
      <c r="B92" s="480"/>
      <c r="C92" s="480"/>
    </row>
    <row r="93">
      <c r="A93" s="480"/>
      <c r="B93" s="480"/>
      <c r="C93" s="480"/>
    </row>
    <row r="94">
      <c r="A94" s="480"/>
      <c r="B94" s="480"/>
      <c r="C94" s="480"/>
    </row>
    <row r="95">
      <c r="A95" s="480"/>
      <c r="B95" s="480"/>
      <c r="C95" s="480"/>
    </row>
    <row r="96">
      <c r="A96" s="480"/>
      <c r="B96" s="480"/>
      <c r="C96" s="480"/>
    </row>
    <row r="97">
      <c r="A97" s="480"/>
      <c r="B97" s="480"/>
      <c r="C97" s="480"/>
    </row>
    <row r="98">
      <c r="A98" s="480"/>
      <c r="B98" s="480"/>
      <c r="C98" s="480"/>
    </row>
    <row r="99">
      <c r="A99" s="480"/>
      <c r="B99" s="480"/>
      <c r="C99" s="480"/>
    </row>
    <row r="100">
      <c r="A100" s="480"/>
      <c r="B100" s="480"/>
      <c r="C100" s="480"/>
    </row>
    <row r="101">
      <c r="A101" s="480"/>
      <c r="B101" s="480"/>
      <c r="C101" s="480"/>
    </row>
    <row r="102">
      <c r="A102" s="480"/>
      <c r="B102" s="480"/>
      <c r="C102" s="480"/>
    </row>
    <row r="103">
      <c r="A103" s="480"/>
      <c r="B103" s="480"/>
      <c r="C103" s="480"/>
    </row>
    <row r="104">
      <c r="A104" s="480"/>
      <c r="B104" s="480"/>
      <c r="C104" s="480"/>
    </row>
    <row r="105">
      <c r="A105" s="480"/>
      <c r="B105" s="480"/>
      <c r="C105" s="480"/>
    </row>
    <row r="106">
      <c r="A106" s="480"/>
      <c r="B106" s="480"/>
      <c r="C106" s="480"/>
    </row>
    <row r="107">
      <c r="A107" s="480"/>
      <c r="B107" s="480"/>
      <c r="C107" s="480"/>
    </row>
    <row r="108">
      <c r="A108" s="480"/>
      <c r="B108" s="480"/>
      <c r="C108" s="480"/>
    </row>
    <row r="109">
      <c r="A109" s="480"/>
      <c r="B109" s="480"/>
      <c r="C109" s="480"/>
    </row>
    <row r="110">
      <c r="A110" s="480"/>
      <c r="B110" s="480"/>
      <c r="C110" s="480"/>
    </row>
    <row r="111">
      <c r="A111" s="480"/>
      <c r="B111" s="480"/>
      <c r="C111" s="480"/>
    </row>
    <row r="112">
      <c r="A112" s="480"/>
      <c r="B112" s="480"/>
      <c r="C112" s="480"/>
    </row>
    <row r="113">
      <c r="A113" s="480"/>
      <c r="B113" s="480"/>
      <c r="C113" s="480"/>
    </row>
    <row r="114">
      <c r="A114" s="480"/>
      <c r="B114" s="480"/>
      <c r="C114" s="480"/>
    </row>
    <row r="115">
      <c r="A115" s="480"/>
      <c r="B115" s="480"/>
      <c r="C115" s="480"/>
    </row>
    <row r="116">
      <c r="A116" s="480"/>
      <c r="B116" s="480"/>
      <c r="C116" s="480"/>
    </row>
    <row r="117">
      <c r="A117" s="480"/>
      <c r="B117" s="480"/>
      <c r="C117" s="480"/>
    </row>
    <row r="118">
      <c r="A118" s="480"/>
      <c r="B118" s="480"/>
      <c r="C118" s="480"/>
    </row>
    <row r="119">
      <c r="A119" s="480"/>
      <c r="B119" s="480"/>
      <c r="C119" s="480"/>
    </row>
    <row r="120">
      <c r="A120" s="480"/>
      <c r="B120" s="480"/>
      <c r="C120" s="480"/>
    </row>
    <row r="121">
      <c r="A121" s="480"/>
      <c r="B121" s="480"/>
      <c r="C121" s="480"/>
    </row>
    <row r="122">
      <c r="A122" s="480"/>
      <c r="B122" s="480"/>
      <c r="C122" s="480"/>
    </row>
    <row r="123">
      <c r="A123" s="480"/>
      <c r="B123" s="480"/>
      <c r="C123" s="480"/>
    </row>
    <row r="124">
      <c r="A124" s="480"/>
      <c r="B124" s="480"/>
      <c r="C124" s="480"/>
    </row>
    <row r="125">
      <c r="A125" s="480"/>
      <c r="B125" s="480"/>
      <c r="C125" s="480"/>
    </row>
    <row r="126">
      <c r="A126" s="480"/>
      <c r="B126" s="480"/>
      <c r="C126" s="480"/>
    </row>
    <row r="127">
      <c r="A127" s="480"/>
      <c r="B127" s="480"/>
      <c r="C127" s="480"/>
    </row>
    <row r="128">
      <c r="A128" s="480"/>
      <c r="B128" s="480"/>
      <c r="C128" s="480"/>
    </row>
    <row r="129">
      <c r="A129" s="480"/>
      <c r="B129" s="480"/>
      <c r="C129" s="480"/>
    </row>
    <row r="130">
      <c r="A130" s="480"/>
      <c r="B130" s="480"/>
      <c r="C130" s="480"/>
    </row>
    <row r="131">
      <c r="A131" s="480"/>
      <c r="B131" s="480"/>
      <c r="C131" s="480"/>
    </row>
    <row r="132">
      <c r="A132" s="480"/>
      <c r="B132" s="480"/>
      <c r="C132" s="480"/>
    </row>
    <row r="133">
      <c r="A133" s="480"/>
      <c r="B133" s="480"/>
      <c r="C133" s="480"/>
    </row>
    <row r="134">
      <c r="A134" s="480"/>
      <c r="B134" s="480"/>
      <c r="C134" s="480"/>
    </row>
    <row r="135">
      <c r="A135" s="480"/>
      <c r="B135" s="480"/>
      <c r="C135" s="480"/>
    </row>
    <row r="136">
      <c r="A136" s="480"/>
      <c r="B136" s="480"/>
      <c r="C136" s="480"/>
    </row>
    <row r="137">
      <c r="A137" s="480"/>
      <c r="B137" s="480"/>
      <c r="C137" s="480"/>
    </row>
    <row r="138">
      <c r="A138" s="480"/>
      <c r="B138" s="480"/>
      <c r="C138" s="480"/>
    </row>
    <row r="139">
      <c r="A139" s="480"/>
      <c r="B139" s="480"/>
      <c r="C139" s="480"/>
    </row>
    <row r="140">
      <c r="A140" s="480"/>
      <c r="B140" s="480"/>
      <c r="C140" s="480"/>
    </row>
    <row r="141">
      <c r="A141" s="480"/>
      <c r="B141" s="480"/>
      <c r="C141" s="480"/>
    </row>
    <row r="142">
      <c r="A142" s="480"/>
      <c r="B142" s="480"/>
      <c r="C142" s="480"/>
    </row>
    <row r="143">
      <c r="A143" s="480"/>
      <c r="B143" s="480"/>
      <c r="C143" s="480"/>
    </row>
    <row r="144">
      <c r="A144" s="480"/>
      <c r="B144" s="480"/>
      <c r="C144" s="480"/>
    </row>
    <row r="145">
      <c r="A145" s="480"/>
      <c r="B145" s="480"/>
      <c r="C145" s="480"/>
    </row>
    <row r="146">
      <c r="A146" s="480"/>
      <c r="B146" s="480"/>
      <c r="C146" s="480"/>
    </row>
    <row r="147">
      <c r="A147" s="480"/>
      <c r="B147" s="480"/>
      <c r="C147" s="480"/>
    </row>
    <row r="148">
      <c r="A148" s="480"/>
      <c r="B148" s="480"/>
      <c r="C148" s="480"/>
    </row>
    <row r="149">
      <c r="A149" s="480"/>
      <c r="B149" s="480"/>
      <c r="C149" s="480"/>
    </row>
    <row r="150">
      <c r="A150" s="480"/>
      <c r="B150" s="480"/>
      <c r="C150" s="480"/>
    </row>
    <row r="151">
      <c r="A151" s="480"/>
      <c r="B151" s="480"/>
      <c r="C151" s="480"/>
    </row>
    <row r="152">
      <c r="A152" s="480"/>
      <c r="B152" s="480"/>
      <c r="C152" s="480"/>
    </row>
    <row r="153">
      <c r="A153" s="480"/>
      <c r="B153" s="480"/>
      <c r="C153" s="480"/>
    </row>
    <row r="154">
      <c r="A154" s="480"/>
      <c r="B154" s="480"/>
      <c r="C154" s="480"/>
    </row>
    <row r="155">
      <c r="A155" s="480"/>
      <c r="B155" s="480"/>
      <c r="C155" s="480"/>
    </row>
    <row r="156">
      <c r="A156" s="480"/>
      <c r="B156" s="480"/>
      <c r="C156" s="480"/>
    </row>
    <row r="157">
      <c r="A157" s="480"/>
      <c r="B157" s="480"/>
      <c r="C157" s="480"/>
    </row>
    <row r="158">
      <c r="A158" s="480"/>
      <c r="B158" s="480"/>
      <c r="C158" s="480"/>
    </row>
    <row r="159">
      <c r="A159" s="480"/>
      <c r="B159" s="480"/>
      <c r="C159" s="480"/>
    </row>
    <row r="160">
      <c r="A160" s="480"/>
      <c r="B160" s="480"/>
      <c r="C160" s="480"/>
    </row>
    <row r="161">
      <c r="A161" s="480"/>
      <c r="B161" s="480"/>
      <c r="C161" s="480"/>
    </row>
    <row r="162">
      <c r="A162" s="480"/>
      <c r="B162" s="480"/>
      <c r="C162" s="480"/>
    </row>
    <row r="163">
      <c r="A163" s="480"/>
      <c r="B163" s="480"/>
      <c r="C163" s="480"/>
    </row>
    <row r="164">
      <c r="A164" s="480"/>
      <c r="B164" s="480"/>
      <c r="C164" s="480"/>
    </row>
    <row r="165">
      <c r="A165" s="480"/>
      <c r="B165" s="480"/>
      <c r="C165" s="480"/>
    </row>
    <row r="166">
      <c r="A166" s="480"/>
      <c r="B166" s="480"/>
      <c r="C166" s="480"/>
    </row>
    <row r="167">
      <c r="A167" s="480"/>
      <c r="B167" s="480"/>
      <c r="C167" s="480"/>
    </row>
    <row r="168">
      <c r="A168" s="480"/>
      <c r="B168" s="480"/>
      <c r="C168" s="480"/>
    </row>
    <row r="169">
      <c r="A169" s="480"/>
      <c r="B169" s="480"/>
      <c r="C169" s="480"/>
    </row>
    <row r="170">
      <c r="A170" s="480"/>
      <c r="B170" s="480"/>
      <c r="C170" s="480"/>
    </row>
    <row r="171">
      <c r="A171" s="480"/>
      <c r="B171" s="480"/>
      <c r="C171" s="480"/>
    </row>
    <row r="172">
      <c r="A172" s="480"/>
      <c r="B172" s="480"/>
      <c r="C172" s="480"/>
    </row>
    <row r="173">
      <c r="A173" s="480"/>
      <c r="B173" s="480"/>
      <c r="C173" s="480"/>
    </row>
    <row r="174">
      <c r="A174" s="480"/>
      <c r="B174" s="480"/>
      <c r="C174" s="480"/>
    </row>
    <row r="175">
      <c r="A175" s="480"/>
      <c r="B175" s="480"/>
      <c r="C175" s="480"/>
    </row>
    <row r="176">
      <c r="A176" s="480"/>
      <c r="B176" s="480"/>
      <c r="C176" s="480"/>
    </row>
    <row r="177">
      <c r="A177" s="480"/>
      <c r="B177" s="480"/>
      <c r="C177" s="480"/>
    </row>
    <row r="178">
      <c r="A178" s="480"/>
      <c r="B178" s="480"/>
      <c r="C178" s="480"/>
    </row>
    <row r="179">
      <c r="A179" s="480"/>
      <c r="B179" s="480"/>
      <c r="C179" s="480"/>
    </row>
    <row r="180">
      <c r="A180" s="480"/>
      <c r="B180" s="480"/>
      <c r="C180" s="480"/>
    </row>
    <row r="181">
      <c r="A181" s="480"/>
      <c r="B181" s="480"/>
      <c r="C181" s="480"/>
    </row>
    <row r="182">
      <c r="A182" s="480"/>
      <c r="B182" s="480"/>
      <c r="C182" s="480"/>
    </row>
    <row r="183">
      <c r="A183" s="480"/>
      <c r="B183" s="480"/>
      <c r="C183" s="480"/>
    </row>
    <row r="184">
      <c r="A184" s="480"/>
      <c r="B184" s="480"/>
      <c r="C184" s="480"/>
    </row>
    <row r="185">
      <c r="A185" s="480"/>
      <c r="B185" s="480"/>
      <c r="C185" s="480"/>
    </row>
    <row r="186">
      <c r="A186" s="480"/>
      <c r="B186" s="480"/>
      <c r="C186" s="480"/>
    </row>
    <row r="187">
      <c r="A187" s="480"/>
      <c r="B187" s="480"/>
      <c r="C187" s="480"/>
    </row>
    <row r="188">
      <c r="A188" s="480"/>
      <c r="B188" s="480"/>
      <c r="C188" s="480"/>
    </row>
    <row r="189">
      <c r="A189" s="480"/>
      <c r="B189" s="480"/>
      <c r="C189" s="480"/>
    </row>
    <row r="190">
      <c r="A190" s="480"/>
      <c r="B190" s="480"/>
      <c r="C190" s="480"/>
    </row>
    <row r="191">
      <c r="A191" s="480"/>
      <c r="B191" s="480"/>
      <c r="C191" s="480"/>
    </row>
    <row r="192">
      <c r="A192" s="480"/>
      <c r="B192" s="480"/>
      <c r="C192" s="480"/>
    </row>
    <row r="193">
      <c r="A193" s="480"/>
      <c r="B193" s="480"/>
      <c r="C193" s="480"/>
    </row>
    <row r="194">
      <c r="A194" s="480"/>
      <c r="B194" s="480"/>
      <c r="C194" s="480"/>
    </row>
    <row r="195">
      <c r="A195" s="480"/>
      <c r="B195" s="480"/>
      <c r="C195" s="480"/>
    </row>
    <row r="196">
      <c r="A196" s="480"/>
      <c r="B196" s="480"/>
      <c r="C196" s="480"/>
    </row>
    <row r="197">
      <c r="A197" s="480"/>
      <c r="B197" s="480"/>
      <c r="C197" s="480"/>
    </row>
    <row r="198">
      <c r="A198" s="480"/>
      <c r="B198" s="480"/>
      <c r="C198" s="480"/>
    </row>
    <row r="199">
      <c r="A199" s="480"/>
      <c r="B199" s="480"/>
      <c r="C199" s="480"/>
    </row>
    <row r="200">
      <c r="A200" s="480"/>
      <c r="B200" s="480"/>
      <c r="C200" s="480"/>
    </row>
    <row r="201">
      <c r="A201" s="480"/>
      <c r="B201" s="480"/>
      <c r="C201" s="480"/>
    </row>
    <row r="202">
      <c r="A202" s="480"/>
      <c r="B202" s="480"/>
      <c r="C202" s="480"/>
    </row>
    <row r="203">
      <c r="A203" s="480"/>
      <c r="B203" s="480"/>
      <c r="C203" s="480"/>
    </row>
    <row r="204">
      <c r="A204" s="480"/>
      <c r="B204" s="480"/>
      <c r="C204" s="480"/>
    </row>
    <row r="205">
      <c r="A205" s="480"/>
      <c r="B205" s="480"/>
      <c r="C205" s="480"/>
    </row>
    <row r="206">
      <c r="A206" s="480"/>
      <c r="B206" s="480"/>
      <c r="C206" s="480"/>
    </row>
    <row r="207">
      <c r="A207" s="480"/>
      <c r="B207" s="480"/>
      <c r="C207" s="480"/>
    </row>
    <row r="208">
      <c r="A208" s="480"/>
      <c r="B208" s="480"/>
      <c r="C208" s="480"/>
    </row>
    <row r="209">
      <c r="A209" s="480"/>
      <c r="B209" s="480"/>
      <c r="C209" s="480"/>
    </row>
    <row r="210">
      <c r="A210" s="480"/>
      <c r="B210" s="480"/>
      <c r="C210" s="480"/>
    </row>
    <row r="211">
      <c r="A211" s="480"/>
      <c r="B211" s="480"/>
      <c r="C211" s="480"/>
    </row>
    <row r="212">
      <c r="A212" s="480"/>
      <c r="B212" s="480"/>
      <c r="C212" s="480"/>
    </row>
    <row r="213">
      <c r="A213" s="480"/>
      <c r="B213" s="480"/>
      <c r="C213" s="480"/>
    </row>
    <row r="214">
      <c r="A214" s="480"/>
      <c r="B214" s="480"/>
      <c r="C214" s="480"/>
    </row>
    <row r="215">
      <c r="A215" s="480"/>
      <c r="B215" s="480"/>
      <c r="C215" s="480"/>
    </row>
    <row r="216">
      <c r="A216" s="480"/>
      <c r="B216" s="480"/>
      <c r="C216" s="480"/>
    </row>
    <row r="217">
      <c r="A217" s="480"/>
      <c r="B217" s="480"/>
      <c r="C217" s="480"/>
    </row>
    <row r="218">
      <c r="A218" s="480"/>
      <c r="B218" s="480"/>
      <c r="C218" s="480"/>
    </row>
    <row r="219">
      <c r="A219" s="480"/>
      <c r="B219" s="480"/>
      <c r="C219" s="480"/>
    </row>
    <row r="220">
      <c r="A220" s="480"/>
      <c r="B220" s="480"/>
      <c r="C220" s="480"/>
    </row>
    <row r="221">
      <c r="A221" s="480"/>
      <c r="B221" s="480"/>
      <c r="C221" s="480"/>
    </row>
    <row r="222">
      <c r="A222" s="480"/>
      <c r="B222" s="480"/>
      <c r="C222" s="480"/>
    </row>
    <row r="223">
      <c r="A223" s="480"/>
      <c r="B223" s="480"/>
      <c r="C223" s="480"/>
    </row>
    <row r="224">
      <c r="A224" s="480"/>
      <c r="B224" s="480"/>
      <c r="C224" s="480"/>
    </row>
    <row r="225">
      <c r="A225" s="480"/>
      <c r="B225" s="480"/>
      <c r="C225" s="480"/>
    </row>
    <row r="226">
      <c r="A226" s="480"/>
      <c r="B226" s="480"/>
      <c r="C226" s="480"/>
    </row>
    <row r="227">
      <c r="A227" s="480"/>
      <c r="B227" s="480"/>
      <c r="C227" s="480"/>
    </row>
    <row r="228">
      <c r="A228" s="480"/>
      <c r="B228" s="480"/>
      <c r="C228" s="480"/>
    </row>
    <row r="229">
      <c r="A229" s="480"/>
      <c r="B229" s="480"/>
      <c r="C229" s="480"/>
    </row>
    <row r="230">
      <c r="A230" s="480"/>
      <c r="B230" s="480"/>
      <c r="C230" s="480"/>
    </row>
    <row r="231">
      <c r="A231" s="480"/>
      <c r="B231" s="480"/>
      <c r="C231" s="480"/>
    </row>
    <row r="232">
      <c r="A232" s="480"/>
      <c r="B232" s="480"/>
      <c r="C232" s="480"/>
    </row>
    <row r="233">
      <c r="A233" s="480"/>
      <c r="B233" s="480"/>
      <c r="C233" s="480"/>
    </row>
    <row r="234">
      <c r="A234" s="480"/>
      <c r="B234" s="480"/>
      <c r="C234" s="480"/>
    </row>
    <row r="235">
      <c r="A235" s="480"/>
      <c r="B235" s="480"/>
      <c r="C235" s="480"/>
    </row>
    <row r="236">
      <c r="A236" s="480"/>
      <c r="B236" s="480"/>
      <c r="C236" s="480"/>
    </row>
    <row r="237">
      <c r="A237" s="480"/>
      <c r="B237" s="480"/>
      <c r="C237" s="480"/>
    </row>
    <row r="238">
      <c r="A238" s="480"/>
      <c r="B238" s="480"/>
      <c r="C238" s="480"/>
    </row>
    <row r="239">
      <c r="A239" s="480"/>
      <c r="B239" s="480"/>
      <c r="C239" s="480"/>
    </row>
    <row r="240">
      <c r="A240" s="480"/>
      <c r="B240" s="480"/>
      <c r="C240" s="480"/>
    </row>
    <row r="241">
      <c r="A241" s="480"/>
      <c r="B241" s="480"/>
      <c r="C241" s="480"/>
    </row>
    <row r="242">
      <c r="A242" s="480"/>
      <c r="B242" s="480"/>
      <c r="C242" s="480"/>
    </row>
    <row r="243">
      <c r="A243" s="480"/>
      <c r="B243" s="480"/>
      <c r="C243" s="480"/>
    </row>
    <row r="244">
      <c r="A244" s="480"/>
      <c r="B244" s="480"/>
      <c r="C244" s="480"/>
    </row>
    <row r="245">
      <c r="A245" s="480"/>
      <c r="B245" s="480"/>
      <c r="C245" s="480"/>
    </row>
    <row r="246">
      <c r="A246" s="480"/>
      <c r="B246" s="480"/>
      <c r="C246" s="480"/>
    </row>
    <row r="247">
      <c r="A247" s="480"/>
      <c r="B247" s="480"/>
      <c r="C247" s="480"/>
    </row>
    <row r="248">
      <c r="A248" s="480"/>
      <c r="B248" s="480"/>
      <c r="C248" s="480"/>
    </row>
    <row r="249">
      <c r="A249" s="480"/>
      <c r="B249" s="480"/>
      <c r="C249" s="480"/>
    </row>
    <row r="250">
      <c r="A250" s="480"/>
      <c r="B250" s="480"/>
      <c r="C250" s="480"/>
    </row>
    <row r="251">
      <c r="A251" s="480"/>
      <c r="B251" s="480"/>
      <c r="C251" s="480"/>
    </row>
    <row r="252">
      <c r="A252" s="480"/>
      <c r="B252" s="480"/>
      <c r="C252" s="480"/>
    </row>
    <row r="253">
      <c r="A253" s="480"/>
      <c r="B253" s="480"/>
      <c r="C253" s="480"/>
    </row>
    <row r="254">
      <c r="A254" s="480"/>
      <c r="B254" s="480"/>
      <c r="C254" s="480"/>
    </row>
    <row r="255">
      <c r="A255" s="480"/>
      <c r="B255" s="480"/>
      <c r="C255" s="480"/>
    </row>
    <row r="256">
      <c r="A256" s="480"/>
      <c r="B256" s="480"/>
      <c r="C256" s="480"/>
    </row>
    <row r="257">
      <c r="A257" s="480"/>
      <c r="B257" s="480"/>
      <c r="C257" s="480"/>
    </row>
    <row r="258">
      <c r="A258" s="480"/>
      <c r="B258" s="480"/>
      <c r="C258" s="480"/>
    </row>
    <row r="259">
      <c r="A259" s="480"/>
      <c r="B259" s="480"/>
      <c r="C259" s="480"/>
    </row>
    <row r="260">
      <c r="A260" s="480"/>
      <c r="B260" s="480"/>
      <c r="C260" s="480"/>
    </row>
    <row r="261">
      <c r="A261" s="480"/>
      <c r="B261" s="480"/>
      <c r="C261" s="480"/>
    </row>
    <row r="262">
      <c r="A262" s="480"/>
      <c r="B262" s="480"/>
      <c r="C262" s="480"/>
    </row>
    <row r="263">
      <c r="A263" s="480"/>
      <c r="B263" s="480"/>
      <c r="C263" s="480"/>
    </row>
    <row r="264">
      <c r="A264" s="480"/>
      <c r="B264" s="480"/>
      <c r="C264" s="480"/>
    </row>
    <row r="265">
      <c r="A265" s="480"/>
      <c r="B265" s="480"/>
      <c r="C265" s="480"/>
    </row>
    <row r="266">
      <c r="A266" s="480"/>
      <c r="B266" s="480"/>
      <c r="C266" s="480"/>
    </row>
    <row r="267">
      <c r="A267" s="480"/>
      <c r="B267" s="480"/>
      <c r="C267" s="480"/>
    </row>
    <row r="268">
      <c r="A268" s="480"/>
      <c r="B268" s="480"/>
      <c r="C268" s="480"/>
    </row>
    <row r="269">
      <c r="A269" s="480"/>
      <c r="B269" s="480"/>
      <c r="C269" s="480"/>
    </row>
    <row r="270">
      <c r="A270" s="480"/>
      <c r="B270" s="480"/>
      <c r="C270" s="480"/>
    </row>
    <row r="271">
      <c r="A271" s="480"/>
      <c r="B271" s="480"/>
      <c r="C271" s="480"/>
    </row>
    <row r="272">
      <c r="A272" s="480"/>
      <c r="B272" s="480"/>
      <c r="C272" s="480"/>
    </row>
    <row r="273">
      <c r="A273" s="480"/>
      <c r="B273" s="480"/>
      <c r="C273" s="480"/>
    </row>
    <row r="274">
      <c r="A274" s="480"/>
      <c r="B274" s="480"/>
      <c r="C274" s="480"/>
    </row>
    <row r="275">
      <c r="A275" s="480"/>
      <c r="B275" s="480"/>
      <c r="C275" s="480"/>
    </row>
    <row r="276">
      <c r="A276" s="480"/>
      <c r="B276" s="480"/>
      <c r="C276" s="480"/>
    </row>
    <row r="277">
      <c r="A277" s="480"/>
      <c r="B277" s="480"/>
      <c r="C277" s="480"/>
    </row>
    <row r="278">
      <c r="A278" s="480"/>
      <c r="B278" s="480"/>
      <c r="C278" s="480"/>
    </row>
    <row r="279">
      <c r="A279" s="480"/>
      <c r="B279" s="480"/>
      <c r="C279" s="480"/>
    </row>
    <row r="280">
      <c r="A280" s="480"/>
      <c r="B280" s="480"/>
      <c r="C280" s="480"/>
    </row>
    <row r="281">
      <c r="A281" s="480"/>
      <c r="B281" s="480"/>
      <c r="C281" s="480"/>
    </row>
    <row r="282">
      <c r="A282" s="480"/>
      <c r="B282" s="480"/>
      <c r="C282" s="480"/>
    </row>
    <row r="283">
      <c r="A283" s="480"/>
      <c r="B283" s="480"/>
      <c r="C283" s="480"/>
    </row>
    <row r="284">
      <c r="A284" s="480"/>
      <c r="B284" s="480"/>
      <c r="C284" s="480"/>
    </row>
    <row r="285">
      <c r="A285" s="480"/>
      <c r="B285" s="480"/>
      <c r="C285" s="480"/>
    </row>
    <row r="286">
      <c r="A286" s="480"/>
      <c r="B286" s="480"/>
      <c r="C286" s="480"/>
    </row>
    <row r="287">
      <c r="A287" s="480"/>
      <c r="B287" s="480"/>
      <c r="C287" s="480"/>
    </row>
    <row r="288">
      <c r="A288" s="480"/>
      <c r="B288" s="480"/>
      <c r="C288" s="480"/>
    </row>
    <row r="289">
      <c r="A289" s="480"/>
      <c r="B289" s="480"/>
      <c r="C289" s="480"/>
    </row>
    <row r="290">
      <c r="A290" s="480"/>
      <c r="B290" s="480"/>
      <c r="C290" s="480"/>
    </row>
    <row r="291">
      <c r="A291" s="480"/>
      <c r="B291" s="480"/>
      <c r="C291" s="480"/>
    </row>
    <row r="292">
      <c r="A292" s="480"/>
      <c r="B292" s="480"/>
      <c r="C292" s="480"/>
    </row>
    <row r="293">
      <c r="A293" s="480"/>
      <c r="B293" s="480"/>
      <c r="C293" s="480"/>
    </row>
    <row r="294">
      <c r="A294" s="480"/>
      <c r="B294" s="480"/>
      <c r="C294" s="480"/>
    </row>
    <row r="295">
      <c r="A295" s="480"/>
      <c r="B295" s="480"/>
      <c r="C295" s="480"/>
    </row>
    <row r="296">
      <c r="A296" s="480"/>
      <c r="B296" s="480"/>
      <c r="C296" s="480"/>
    </row>
    <row r="297">
      <c r="A297" s="480"/>
      <c r="B297" s="480"/>
      <c r="C297" s="480"/>
    </row>
    <row r="298">
      <c r="A298" s="480"/>
      <c r="B298" s="480"/>
      <c r="C298" s="480"/>
    </row>
    <row r="299">
      <c r="A299" s="480"/>
      <c r="B299" s="480"/>
      <c r="C299" s="480"/>
    </row>
    <row r="300">
      <c r="A300" s="480"/>
      <c r="B300" s="480"/>
      <c r="C300" s="480"/>
    </row>
    <row r="301">
      <c r="A301" s="480"/>
      <c r="B301" s="480"/>
      <c r="C301" s="480"/>
    </row>
    <row r="302">
      <c r="A302" s="480"/>
      <c r="B302" s="480"/>
      <c r="C302" s="480"/>
    </row>
    <row r="303">
      <c r="A303" s="480"/>
      <c r="B303" s="480"/>
      <c r="C303" s="480"/>
    </row>
    <row r="304">
      <c r="A304" s="480"/>
      <c r="B304" s="480"/>
      <c r="C304" s="480"/>
    </row>
    <row r="305">
      <c r="A305" s="480"/>
      <c r="B305" s="480"/>
      <c r="C305" s="480"/>
    </row>
    <row r="306">
      <c r="A306" s="480"/>
      <c r="B306" s="480"/>
      <c r="C306" s="480"/>
    </row>
    <row r="307">
      <c r="A307" s="480"/>
      <c r="B307" s="480"/>
      <c r="C307" s="480"/>
    </row>
    <row r="308">
      <c r="A308" s="480"/>
      <c r="B308" s="480"/>
      <c r="C308" s="480"/>
    </row>
    <row r="309">
      <c r="A309" s="480"/>
      <c r="B309" s="480"/>
      <c r="C309" s="480"/>
    </row>
    <row r="310">
      <c r="A310" s="480"/>
      <c r="B310" s="480"/>
      <c r="C310" s="480"/>
    </row>
    <row r="311">
      <c r="A311" s="480"/>
      <c r="B311" s="480"/>
      <c r="C311" s="480"/>
    </row>
    <row r="312">
      <c r="A312" s="480"/>
      <c r="B312" s="480"/>
      <c r="C312" s="480"/>
    </row>
    <row r="313">
      <c r="A313" s="480"/>
      <c r="B313" s="480"/>
      <c r="C313" s="480"/>
    </row>
    <row r="314">
      <c r="A314" s="480"/>
      <c r="B314" s="480"/>
      <c r="C314" s="480"/>
    </row>
    <row r="315">
      <c r="A315" s="480"/>
      <c r="B315" s="480"/>
      <c r="C315" s="480"/>
    </row>
    <row r="316">
      <c r="A316" s="480"/>
      <c r="B316" s="480"/>
      <c r="C316" s="480"/>
    </row>
    <row r="317">
      <c r="A317" s="480"/>
      <c r="B317" s="480"/>
      <c r="C317" s="480"/>
    </row>
    <row r="318">
      <c r="A318" s="480"/>
      <c r="B318" s="480"/>
      <c r="C318" s="480"/>
    </row>
    <row r="319">
      <c r="A319" s="480"/>
      <c r="B319" s="480"/>
      <c r="C319" s="480"/>
    </row>
    <row r="320">
      <c r="A320" s="480"/>
      <c r="B320" s="480"/>
      <c r="C320" s="480"/>
    </row>
    <row r="321">
      <c r="A321" s="480"/>
      <c r="B321" s="480"/>
      <c r="C321" s="480"/>
    </row>
    <row r="322">
      <c r="A322" s="480"/>
      <c r="B322" s="480"/>
      <c r="C322" s="480"/>
    </row>
    <row r="323">
      <c r="A323" s="480"/>
      <c r="B323" s="480"/>
      <c r="C323" s="480"/>
    </row>
    <row r="324">
      <c r="A324" s="480"/>
      <c r="B324" s="480"/>
      <c r="C324" s="480"/>
    </row>
    <row r="325">
      <c r="A325" s="480"/>
      <c r="B325" s="480"/>
      <c r="C325" s="480"/>
    </row>
    <row r="326">
      <c r="A326" s="480"/>
      <c r="B326" s="480"/>
      <c r="C326" s="480"/>
    </row>
    <row r="327">
      <c r="A327" s="480"/>
      <c r="B327" s="480"/>
      <c r="C327" s="480"/>
    </row>
    <row r="328">
      <c r="A328" s="480"/>
      <c r="B328" s="480"/>
      <c r="C328" s="480"/>
    </row>
    <row r="329">
      <c r="A329" s="480"/>
      <c r="B329" s="480"/>
      <c r="C329" s="480"/>
    </row>
    <row r="330">
      <c r="A330" s="480"/>
      <c r="B330" s="480"/>
      <c r="C330" s="480"/>
    </row>
    <row r="331">
      <c r="A331" s="480"/>
      <c r="B331" s="480"/>
      <c r="C331" s="480"/>
    </row>
    <row r="332">
      <c r="A332" s="480"/>
      <c r="B332" s="480"/>
      <c r="C332" s="480"/>
    </row>
    <row r="333">
      <c r="A333" s="480"/>
      <c r="B333" s="480"/>
      <c r="C333" s="480"/>
    </row>
    <row r="334">
      <c r="A334" s="480"/>
      <c r="B334" s="480"/>
      <c r="C334" s="480"/>
    </row>
    <row r="335">
      <c r="A335" s="480"/>
      <c r="B335" s="480"/>
      <c r="C335" s="480"/>
    </row>
    <row r="336">
      <c r="A336" s="480"/>
      <c r="B336" s="480"/>
      <c r="C336" s="480"/>
    </row>
    <row r="337">
      <c r="A337" s="480"/>
      <c r="B337" s="480"/>
      <c r="C337" s="480"/>
    </row>
    <row r="338">
      <c r="A338" s="480"/>
      <c r="B338" s="480"/>
      <c r="C338" s="480"/>
    </row>
    <row r="339">
      <c r="A339" s="480"/>
      <c r="B339" s="480"/>
      <c r="C339" s="480"/>
    </row>
    <row r="340">
      <c r="A340" s="480"/>
      <c r="B340" s="480"/>
      <c r="C340" s="480"/>
    </row>
    <row r="341">
      <c r="A341" s="480"/>
      <c r="B341" s="480"/>
      <c r="C341" s="480"/>
    </row>
    <row r="342">
      <c r="A342" s="480"/>
      <c r="B342" s="480"/>
      <c r="C342" s="480"/>
    </row>
    <row r="343">
      <c r="A343" s="480"/>
      <c r="B343" s="480"/>
      <c r="C343" s="480"/>
    </row>
    <row r="344">
      <c r="A344" s="480"/>
      <c r="B344" s="480"/>
      <c r="C344" s="480"/>
    </row>
    <row r="345">
      <c r="A345" s="480"/>
      <c r="B345" s="480"/>
      <c r="C345" s="480"/>
    </row>
    <row r="346">
      <c r="A346" s="480"/>
      <c r="B346" s="480"/>
      <c r="C346" s="480"/>
    </row>
    <row r="347">
      <c r="A347" s="480"/>
      <c r="B347" s="480"/>
      <c r="C347" s="480"/>
    </row>
    <row r="348">
      <c r="A348" s="480"/>
      <c r="B348" s="480"/>
      <c r="C348" s="480"/>
    </row>
    <row r="349">
      <c r="A349" s="480"/>
      <c r="B349" s="480"/>
      <c r="C349" s="480"/>
    </row>
    <row r="350">
      <c r="A350" s="480"/>
      <c r="B350" s="480"/>
      <c r="C350" s="480"/>
    </row>
    <row r="351">
      <c r="A351" s="480"/>
      <c r="B351" s="480"/>
      <c r="C351" s="480"/>
    </row>
    <row r="352">
      <c r="A352" s="480"/>
      <c r="B352" s="480"/>
      <c r="C352" s="480"/>
    </row>
    <row r="353">
      <c r="A353" s="480"/>
      <c r="B353" s="480"/>
      <c r="C353" s="480"/>
    </row>
    <row r="354">
      <c r="A354" s="480"/>
      <c r="B354" s="480"/>
      <c r="C354" s="480"/>
    </row>
    <row r="355">
      <c r="A355" s="480"/>
      <c r="B355" s="480"/>
      <c r="C355" s="480"/>
    </row>
    <row r="356">
      <c r="A356" s="480"/>
      <c r="B356" s="480"/>
      <c r="C356" s="480"/>
    </row>
    <row r="357">
      <c r="A357" s="480"/>
      <c r="B357" s="480"/>
      <c r="C357" s="480"/>
    </row>
    <row r="358">
      <c r="A358" s="480"/>
      <c r="B358" s="480"/>
      <c r="C358" s="480"/>
    </row>
    <row r="359">
      <c r="A359" s="480"/>
      <c r="B359" s="480"/>
      <c r="C359" s="480"/>
    </row>
    <row r="360">
      <c r="A360" s="480"/>
      <c r="B360" s="480"/>
      <c r="C360" s="480"/>
    </row>
    <row r="361">
      <c r="A361" s="480"/>
      <c r="B361" s="480"/>
      <c r="C361" s="480"/>
    </row>
    <row r="362">
      <c r="A362" s="480"/>
      <c r="B362" s="480"/>
      <c r="C362" s="480"/>
    </row>
    <row r="363">
      <c r="A363" s="480"/>
      <c r="B363" s="480"/>
      <c r="C363" s="480"/>
    </row>
    <row r="364">
      <c r="A364" s="480"/>
      <c r="B364" s="480"/>
      <c r="C364" s="480"/>
    </row>
    <row r="365">
      <c r="A365" s="480"/>
      <c r="B365" s="480"/>
      <c r="C365" s="480"/>
    </row>
    <row r="366">
      <c r="A366" s="480"/>
      <c r="B366" s="480"/>
      <c r="C366" s="480"/>
    </row>
    <row r="367">
      <c r="A367" s="480"/>
      <c r="B367" s="480"/>
      <c r="C367" s="480"/>
    </row>
    <row r="368">
      <c r="A368" s="480"/>
      <c r="B368" s="480"/>
      <c r="C368" s="480"/>
    </row>
    <row r="369">
      <c r="A369" s="480"/>
      <c r="B369" s="480"/>
      <c r="C369" s="480"/>
    </row>
    <row r="370">
      <c r="A370" s="480"/>
      <c r="B370" s="480"/>
      <c r="C370" s="480"/>
    </row>
    <row r="371">
      <c r="A371" s="480"/>
      <c r="B371" s="480"/>
      <c r="C371" s="480"/>
    </row>
    <row r="372">
      <c r="A372" s="480"/>
      <c r="B372" s="480"/>
      <c r="C372" s="480"/>
    </row>
    <row r="373">
      <c r="A373" s="480"/>
      <c r="B373" s="480"/>
      <c r="C373" s="480"/>
    </row>
    <row r="374">
      <c r="A374" s="480"/>
      <c r="B374" s="480"/>
      <c r="C374" s="480"/>
    </row>
    <row r="375">
      <c r="A375" s="480"/>
      <c r="B375" s="480"/>
      <c r="C375" s="480"/>
    </row>
    <row r="376">
      <c r="A376" s="480"/>
      <c r="B376" s="480"/>
      <c r="C376" s="480"/>
    </row>
    <row r="377">
      <c r="A377" s="480"/>
      <c r="B377" s="480"/>
      <c r="C377" s="480"/>
    </row>
    <row r="378">
      <c r="A378" s="480"/>
      <c r="B378" s="480"/>
      <c r="C378" s="480"/>
    </row>
    <row r="379">
      <c r="A379" s="480"/>
      <c r="B379" s="480"/>
      <c r="C379" s="480"/>
    </row>
    <row r="380">
      <c r="A380" s="480"/>
      <c r="B380" s="480"/>
      <c r="C380" s="480"/>
    </row>
    <row r="381">
      <c r="A381" s="480"/>
      <c r="B381" s="480"/>
      <c r="C381" s="480"/>
    </row>
    <row r="382">
      <c r="A382" s="480"/>
      <c r="B382" s="480"/>
      <c r="C382" s="480"/>
    </row>
    <row r="383">
      <c r="A383" s="480"/>
      <c r="B383" s="480"/>
      <c r="C383" s="480"/>
    </row>
    <row r="384">
      <c r="A384" s="480"/>
      <c r="B384" s="480"/>
      <c r="C384" s="480"/>
    </row>
    <row r="385">
      <c r="A385" s="480"/>
      <c r="B385" s="480"/>
      <c r="C385" s="480"/>
    </row>
    <row r="386">
      <c r="A386" s="480"/>
      <c r="B386" s="480"/>
      <c r="C386" s="480"/>
    </row>
    <row r="387">
      <c r="A387" s="480"/>
      <c r="B387" s="480"/>
      <c r="C387" s="480"/>
    </row>
    <row r="388">
      <c r="A388" s="480"/>
      <c r="B388" s="480"/>
      <c r="C388" s="480"/>
    </row>
    <row r="389">
      <c r="A389" s="480"/>
      <c r="B389" s="480"/>
      <c r="C389" s="480"/>
    </row>
    <row r="390">
      <c r="A390" s="480"/>
      <c r="B390" s="480"/>
      <c r="C390" s="480"/>
    </row>
    <row r="391">
      <c r="A391" s="480"/>
      <c r="B391" s="480"/>
      <c r="C391" s="480"/>
    </row>
    <row r="392">
      <c r="A392" s="480"/>
      <c r="B392" s="480"/>
      <c r="C392" s="480"/>
    </row>
    <row r="393">
      <c r="A393" s="480"/>
      <c r="B393" s="480"/>
      <c r="C393" s="480"/>
    </row>
    <row r="394">
      <c r="A394" s="480"/>
      <c r="B394" s="480"/>
      <c r="C394" s="480"/>
    </row>
    <row r="395">
      <c r="A395" s="480"/>
      <c r="B395" s="480"/>
      <c r="C395" s="480"/>
    </row>
    <row r="396">
      <c r="A396" s="480"/>
      <c r="B396" s="480"/>
      <c r="C396" s="480"/>
    </row>
    <row r="397">
      <c r="A397" s="480"/>
      <c r="B397" s="480"/>
      <c r="C397" s="480"/>
    </row>
    <row r="398">
      <c r="A398" s="480"/>
      <c r="B398" s="480"/>
      <c r="C398" s="480"/>
    </row>
    <row r="399">
      <c r="A399" s="480"/>
      <c r="B399" s="480"/>
      <c r="C399" s="480"/>
    </row>
    <row r="400">
      <c r="A400" s="480"/>
      <c r="B400" s="480"/>
      <c r="C400" s="480"/>
    </row>
    <row r="401">
      <c r="A401" s="480"/>
      <c r="B401" s="480"/>
      <c r="C401" s="480"/>
    </row>
    <row r="402">
      <c r="A402" s="480"/>
      <c r="B402" s="480"/>
      <c r="C402" s="480"/>
    </row>
    <row r="403">
      <c r="A403" s="480"/>
      <c r="B403" s="480"/>
      <c r="C403" s="480"/>
    </row>
    <row r="404">
      <c r="A404" s="480"/>
      <c r="B404" s="480"/>
      <c r="C404" s="480"/>
    </row>
    <row r="405">
      <c r="A405" s="480"/>
      <c r="B405" s="480"/>
      <c r="C405" s="480"/>
    </row>
    <row r="406">
      <c r="A406" s="480"/>
      <c r="B406" s="480"/>
      <c r="C406" s="480"/>
    </row>
    <row r="407">
      <c r="A407" s="480"/>
      <c r="B407" s="480"/>
      <c r="C407" s="480"/>
    </row>
    <row r="408">
      <c r="A408" s="480"/>
      <c r="B408" s="480"/>
      <c r="C408" s="480"/>
    </row>
    <row r="409">
      <c r="A409" s="480"/>
      <c r="B409" s="480"/>
      <c r="C409" s="480"/>
    </row>
    <row r="410">
      <c r="A410" s="480"/>
      <c r="B410" s="480"/>
      <c r="C410" s="480"/>
    </row>
    <row r="411">
      <c r="A411" s="480"/>
      <c r="B411" s="480"/>
      <c r="C411" s="480"/>
    </row>
    <row r="412">
      <c r="A412" s="480"/>
      <c r="B412" s="480"/>
      <c r="C412" s="480"/>
    </row>
    <row r="413">
      <c r="A413" s="480"/>
      <c r="B413" s="480"/>
      <c r="C413" s="480"/>
    </row>
    <row r="414">
      <c r="A414" s="480"/>
      <c r="B414" s="480"/>
      <c r="C414" s="480"/>
    </row>
    <row r="415">
      <c r="A415" s="480"/>
      <c r="B415" s="480"/>
      <c r="C415" s="480"/>
    </row>
    <row r="416">
      <c r="A416" s="480"/>
      <c r="B416" s="480"/>
      <c r="C416" s="480"/>
    </row>
    <row r="417">
      <c r="A417" s="480"/>
      <c r="B417" s="480"/>
      <c r="C417" s="480"/>
    </row>
    <row r="418">
      <c r="A418" s="480"/>
      <c r="B418" s="480"/>
      <c r="C418" s="480"/>
    </row>
    <row r="419">
      <c r="A419" s="480"/>
      <c r="B419" s="480"/>
      <c r="C419" s="480"/>
    </row>
    <row r="420">
      <c r="A420" s="480"/>
      <c r="B420" s="480"/>
      <c r="C420" s="480"/>
    </row>
    <row r="421">
      <c r="A421" s="480"/>
      <c r="B421" s="480"/>
      <c r="C421" s="480"/>
    </row>
    <row r="422">
      <c r="A422" s="480"/>
      <c r="B422" s="480"/>
      <c r="C422" s="480"/>
    </row>
    <row r="423">
      <c r="A423" s="480"/>
      <c r="B423" s="480"/>
      <c r="C423" s="480"/>
    </row>
    <row r="424">
      <c r="A424" s="480"/>
      <c r="B424" s="480"/>
      <c r="C424" s="480"/>
    </row>
    <row r="425">
      <c r="A425" s="480"/>
      <c r="B425" s="480"/>
      <c r="C425" s="480"/>
    </row>
    <row r="426">
      <c r="A426" s="480"/>
      <c r="B426" s="480"/>
      <c r="C426" s="480"/>
    </row>
    <row r="427">
      <c r="A427" s="480"/>
      <c r="B427" s="480"/>
      <c r="C427" s="480"/>
    </row>
    <row r="428">
      <c r="A428" s="480"/>
      <c r="B428" s="480"/>
      <c r="C428" s="480"/>
    </row>
    <row r="429">
      <c r="A429" s="480"/>
      <c r="B429" s="480"/>
      <c r="C429" s="480"/>
    </row>
    <row r="430">
      <c r="A430" s="480"/>
      <c r="B430" s="480"/>
      <c r="C430" s="480"/>
    </row>
    <row r="431">
      <c r="A431" s="480"/>
      <c r="B431" s="480"/>
      <c r="C431" s="480"/>
    </row>
    <row r="432">
      <c r="A432" s="480"/>
      <c r="B432" s="480"/>
      <c r="C432" s="480"/>
    </row>
    <row r="433">
      <c r="A433" s="480"/>
      <c r="B433" s="480"/>
      <c r="C433" s="480"/>
    </row>
    <row r="434">
      <c r="A434" s="480"/>
      <c r="B434" s="480"/>
      <c r="C434" s="480"/>
    </row>
    <row r="435">
      <c r="A435" s="480"/>
      <c r="B435" s="480"/>
      <c r="C435" s="480"/>
    </row>
    <row r="436">
      <c r="A436" s="480"/>
      <c r="B436" s="480"/>
      <c r="C436" s="480"/>
    </row>
    <row r="437">
      <c r="A437" s="480"/>
      <c r="B437" s="480"/>
      <c r="C437" s="480"/>
    </row>
    <row r="438">
      <c r="A438" s="480"/>
      <c r="B438" s="480"/>
      <c r="C438" s="480"/>
    </row>
    <row r="439">
      <c r="A439" s="480"/>
      <c r="B439" s="480"/>
      <c r="C439" s="480"/>
    </row>
    <row r="440">
      <c r="A440" s="480"/>
      <c r="B440" s="480"/>
      <c r="C440" s="480"/>
    </row>
    <row r="441">
      <c r="A441" s="480"/>
      <c r="B441" s="480"/>
      <c r="C441" s="480"/>
    </row>
    <row r="442">
      <c r="A442" s="480"/>
      <c r="B442" s="480"/>
      <c r="C442" s="480"/>
    </row>
    <row r="443">
      <c r="A443" s="480"/>
      <c r="B443" s="480"/>
      <c r="C443" s="480"/>
    </row>
    <row r="444">
      <c r="A444" s="480"/>
      <c r="B444" s="480"/>
      <c r="C444" s="480"/>
    </row>
    <row r="445">
      <c r="A445" s="480"/>
      <c r="B445" s="480"/>
      <c r="C445" s="480"/>
    </row>
    <row r="446">
      <c r="A446" s="480"/>
      <c r="B446" s="480"/>
      <c r="C446" s="480"/>
    </row>
    <row r="447">
      <c r="A447" s="480"/>
      <c r="B447" s="480"/>
      <c r="C447" s="480"/>
    </row>
    <row r="448">
      <c r="A448" s="480"/>
      <c r="B448" s="480"/>
      <c r="C448" s="480"/>
    </row>
    <row r="449">
      <c r="A449" s="480"/>
      <c r="B449" s="480"/>
      <c r="C449" s="480"/>
    </row>
    <row r="450">
      <c r="A450" s="480"/>
      <c r="B450" s="480"/>
      <c r="C450" s="480"/>
    </row>
    <row r="451">
      <c r="A451" s="480"/>
      <c r="B451" s="480"/>
      <c r="C451" s="480"/>
    </row>
    <row r="452">
      <c r="A452" s="480"/>
      <c r="B452" s="480"/>
      <c r="C452" s="480"/>
    </row>
    <row r="453">
      <c r="A453" s="480"/>
      <c r="B453" s="480"/>
      <c r="C453" s="480"/>
    </row>
    <row r="454">
      <c r="A454" s="480"/>
      <c r="B454" s="480"/>
      <c r="C454" s="480"/>
    </row>
    <row r="455">
      <c r="A455" s="480"/>
      <c r="B455" s="480"/>
      <c r="C455" s="480"/>
    </row>
    <row r="456">
      <c r="A456" s="480"/>
      <c r="B456" s="480"/>
      <c r="C456" s="480"/>
    </row>
    <row r="457">
      <c r="A457" s="480"/>
      <c r="B457" s="480"/>
      <c r="C457" s="480"/>
    </row>
    <row r="458">
      <c r="A458" s="480"/>
      <c r="B458" s="480"/>
      <c r="C458" s="480"/>
    </row>
    <row r="459">
      <c r="A459" s="480"/>
      <c r="B459" s="480"/>
      <c r="C459" s="480"/>
    </row>
    <row r="460">
      <c r="A460" s="480"/>
      <c r="B460" s="480"/>
      <c r="C460" s="480"/>
    </row>
    <row r="461">
      <c r="A461" s="480"/>
      <c r="B461" s="480"/>
      <c r="C461" s="480"/>
    </row>
    <row r="462">
      <c r="A462" s="480"/>
      <c r="B462" s="480"/>
      <c r="C462" s="480"/>
    </row>
    <row r="463">
      <c r="A463" s="480"/>
      <c r="B463" s="480"/>
      <c r="C463" s="480"/>
    </row>
    <row r="464">
      <c r="A464" s="480"/>
      <c r="B464" s="480"/>
      <c r="C464" s="480"/>
    </row>
    <row r="465">
      <c r="A465" s="480"/>
      <c r="B465" s="480"/>
      <c r="C465" s="480"/>
    </row>
    <row r="466">
      <c r="A466" s="480"/>
      <c r="B466" s="480"/>
      <c r="C466" s="480"/>
    </row>
    <row r="467">
      <c r="A467" s="480"/>
      <c r="B467" s="480"/>
      <c r="C467" s="480"/>
    </row>
    <row r="468">
      <c r="A468" s="480"/>
      <c r="B468" s="480"/>
      <c r="C468" s="480"/>
    </row>
    <row r="469">
      <c r="A469" s="480"/>
      <c r="B469" s="480"/>
      <c r="C469" s="480"/>
    </row>
    <row r="470">
      <c r="A470" s="480"/>
      <c r="B470" s="480"/>
      <c r="C470" s="480"/>
    </row>
    <row r="471">
      <c r="A471" s="480"/>
      <c r="B471" s="480"/>
      <c r="C471" s="480"/>
    </row>
    <row r="472">
      <c r="A472" s="480"/>
      <c r="B472" s="480"/>
      <c r="C472" s="480"/>
    </row>
    <row r="473">
      <c r="A473" s="480"/>
      <c r="B473" s="480"/>
      <c r="C473" s="480"/>
    </row>
    <row r="474">
      <c r="A474" s="480"/>
      <c r="B474" s="480"/>
      <c r="C474" s="480"/>
    </row>
    <row r="475">
      <c r="A475" s="480"/>
      <c r="B475" s="480"/>
      <c r="C475" s="480"/>
    </row>
    <row r="476">
      <c r="A476" s="480"/>
      <c r="B476" s="480"/>
      <c r="C476" s="480"/>
    </row>
    <row r="477">
      <c r="A477" s="480"/>
      <c r="B477" s="480"/>
      <c r="C477" s="480"/>
    </row>
    <row r="478">
      <c r="A478" s="480"/>
      <c r="B478" s="480"/>
      <c r="C478" s="480"/>
    </row>
    <row r="479">
      <c r="A479" s="480"/>
      <c r="B479" s="480"/>
      <c r="C479" s="480"/>
    </row>
    <row r="480">
      <c r="A480" s="480"/>
      <c r="B480" s="480"/>
      <c r="C480" s="480"/>
    </row>
    <row r="481">
      <c r="A481" s="480"/>
      <c r="B481" s="480"/>
      <c r="C481" s="480"/>
    </row>
    <row r="482">
      <c r="A482" s="480"/>
      <c r="B482" s="480"/>
      <c r="C482" s="480"/>
    </row>
    <row r="483">
      <c r="A483" s="480"/>
      <c r="B483" s="480"/>
      <c r="C483" s="480"/>
    </row>
    <row r="484">
      <c r="A484" s="480"/>
      <c r="B484" s="480"/>
      <c r="C484" s="480"/>
    </row>
    <row r="485">
      <c r="A485" s="480"/>
      <c r="B485" s="480"/>
      <c r="C485" s="480"/>
    </row>
    <row r="486">
      <c r="A486" s="480"/>
      <c r="B486" s="480"/>
      <c r="C486" s="480"/>
    </row>
    <row r="487">
      <c r="A487" s="480"/>
      <c r="B487" s="480"/>
      <c r="C487" s="480"/>
    </row>
    <row r="488">
      <c r="A488" s="480"/>
      <c r="B488" s="480"/>
      <c r="C488" s="480"/>
    </row>
    <row r="489">
      <c r="A489" s="480"/>
      <c r="B489" s="480"/>
      <c r="C489" s="480"/>
    </row>
    <row r="490">
      <c r="A490" s="480"/>
      <c r="B490" s="480"/>
      <c r="C490" s="480"/>
    </row>
    <row r="491">
      <c r="A491" s="480"/>
      <c r="B491" s="480"/>
      <c r="C491" s="480"/>
    </row>
    <row r="492">
      <c r="A492" s="480"/>
      <c r="B492" s="480"/>
      <c r="C492" s="480"/>
    </row>
    <row r="493">
      <c r="A493" s="480"/>
      <c r="B493" s="480"/>
      <c r="C493" s="480"/>
    </row>
    <row r="494">
      <c r="A494" s="480"/>
      <c r="B494" s="480"/>
      <c r="C494" s="480"/>
    </row>
    <row r="495">
      <c r="A495" s="480"/>
      <c r="B495" s="480"/>
      <c r="C495" s="480"/>
    </row>
    <row r="496">
      <c r="A496" s="480"/>
      <c r="B496" s="480"/>
      <c r="C496" s="480"/>
    </row>
    <row r="497">
      <c r="A497" s="480"/>
      <c r="B497" s="480"/>
      <c r="C497" s="480"/>
    </row>
    <row r="498">
      <c r="A498" s="480"/>
      <c r="B498" s="480"/>
      <c r="C498" s="480"/>
    </row>
    <row r="499">
      <c r="A499" s="480"/>
      <c r="B499" s="480"/>
      <c r="C499" s="480"/>
    </row>
    <row r="500">
      <c r="A500" s="480"/>
      <c r="B500" s="480"/>
      <c r="C500" s="480"/>
    </row>
    <row r="501">
      <c r="A501" s="480"/>
      <c r="B501" s="480"/>
      <c r="C501" s="480"/>
    </row>
    <row r="502">
      <c r="A502" s="480"/>
      <c r="B502" s="480"/>
      <c r="C502" s="480"/>
    </row>
    <row r="503">
      <c r="A503" s="480"/>
      <c r="B503" s="480"/>
      <c r="C503" s="480"/>
    </row>
    <row r="504">
      <c r="A504" s="480"/>
      <c r="B504" s="480"/>
      <c r="C504" s="480"/>
    </row>
    <row r="505">
      <c r="A505" s="480"/>
      <c r="B505" s="480"/>
      <c r="C505" s="480"/>
    </row>
    <row r="506">
      <c r="A506" s="480"/>
      <c r="B506" s="480"/>
      <c r="C506" s="480"/>
    </row>
    <row r="507">
      <c r="A507" s="480"/>
      <c r="B507" s="480"/>
      <c r="C507" s="480"/>
    </row>
    <row r="508">
      <c r="A508" s="480"/>
      <c r="B508" s="480"/>
      <c r="C508" s="480"/>
    </row>
    <row r="509">
      <c r="A509" s="480"/>
      <c r="B509" s="480"/>
      <c r="C509" s="480"/>
    </row>
    <row r="510">
      <c r="A510" s="480"/>
      <c r="B510" s="480"/>
      <c r="C510" s="480"/>
    </row>
    <row r="511">
      <c r="A511" s="480"/>
      <c r="B511" s="480"/>
      <c r="C511" s="480"/>
    </row>
    <row r="512">
      <c r="A512" s="480"/>
      <c r="B512" s="480"/>
      <c r="C512" s="480"/>
    </row>
    <row r="513">
      <c r="A513" s="480"/>
      <c r="B513" s="480"/>
      <c r="C513" s="480"/>
    </row>
    <row r="514">
      <c r="A514" s="480"/>
      <c r="B514" s="480"/>
      <c r="C514" s="480"/>
    </row>
    <row r="515">
      <c r="A515" s="480"/>
      <c r="B515" s="480"/>
      <c r="C515" s="480"/>
    </row>
    <row r="516">
      <c r="A516" s="480"/>
      <c r="B516" s="480"/>
      <c r="C516" s="480"/>
    </row>
    <row r="517">
      <c r="A517" s="480"/>
      <c r="B517" s="480"/>
      <c r="C517" s="480"/>
    </row>
    <row r="518">
      <c r="A518" s="480"/>
      <c r="B518" s="480"/>
      <c r="C518" s="480"/>
    </row>
    <row r="519">
      <c r="A519" s="480"/>
      <c r="B519" s="480"/>
      <c r="C519" s="480"/>
    </row>
    <row r="520">
      <c r="A520" s="480"/>
      <c r="B520" s="480"/>
      <c r="C520" s="480"/>
    </row>
    <row r="521">
      <c r="A521" s="480"/>
      <c r="B521" s="480"/>
      <c r="C521" s="480"/>
    </row>
    <row r="522">
      <c r="A522" s="480"/>
      <c r="B522" s="480"/>
      <c r="C522" s="480"/>
    </row>
    <row r="523">
      <c r="A523" s="480"/>
      <c r="B523" s="480"/>
      <c r="C523" s="480"/>
    </row>
    <row r="524">
      <c r="A524" s="480"/>
      <c r="B524" s="480"/>
      <c r="C524" s="480"/>
    </row>
    <row r="525">
      <c r="A525" s="480"/>
      <c r="B525" s="480"/>
      <c r="C525" s="480"/>
    </row>
    <row r="526">
      <c r="A526" s="480"/>
      <c r="B526" s="480"/>
      <c r="C526" s="480"/>
    </row>
    <row r="527">
      <c r="A527" s="480"/>
      <c r="B527" s="480"/>
      <c r="C527" s="480"/>
    </row>
    <row r="528">
      <c r="A528" s="480"/>
      <c r="B528" s="480"/>
      <c r="C528" s="480"/>
    </row>
    <row r="529">
      <c r="A529" s="480"/>
      <c r="B529" s="480"/>
      <c r="C529" s="480"/>
    </row>
    <row r="530">
      <c r="A530" s="480"/>
      <c r="B530" s="480"/>
      <c r="C530" s="480"/>
    </row>
    <row r="531">
      <c r="A531" s="480"/>
      <c r="B531" s="480"/>
      <c r="C531" s="480"/>
    </row>
    <row r="532">
      <c r="A532" s="480"/>
      <c r="B532" s="480"/>
      <c r="C532" s="480"/>
    </row>
    <row r="533">
      <c r="A533" s="480"/>
      <c r="B533" s="480"/>
      <c r="C533" s="480"/>
    </row>
    <row r="534">
      <c r="A534" s="480"/>
      <c r="B534" s="480"/>
      <c r="C534" s="480"/>
    </row>
    <row r="535">
      <c r="A535" s="480"/>
      <c r="B535" s="480"/>
      <c r="C535" s="480"/>
    </row>
    <row r="536">
      <c r="A536" s="480"/>
      <c r="B536" s="480"/>
      <c r="C536" s="480"/>
    </row>
    <row r="537">
      <c r="A537" s="480"/>
      <c r="B537" s="480"/>
      <c r="C537" s="480"/>
    </row>
    <row r="538">
      <c r="A538" s="480"/>
      <c r="B538" s="480"/>
      <c r="C538" s="480"/>
    </row>
    <row r="539">
      <c r="A539" s="480"/>
      <c r="B539" s="480"/>
      <c r="C539" s="480"/>
    </row>
    <row r="540">
      <c r="A540" s="480"/>
      <c r="B540" s="480"/>
      <c r="C540" s="480"/>
    </row>
    <row r="541">
      <c r="A541" s="480"/>
      <c r="B541" s="480"/>
      <c r="C541" s="480"/>
    </row>
    <row r="542">
      <c r="A542" s="480"/>
      <c r="B542" s="480"/>
      <c r="C542" s="480"/>
    </row>
    <row r="543">
      <c r="A543" s="480"/>
      <c r="B543" s="480"/>
      <c r="C543" s="480"/>
    </row>
    <row r="544">
      <c r="A544" s="480"/>
      <c r="B544" s="480"/>
      <c r="C544" s="480"/>
    </row>
    <row r="545">
      <c r="A545" s="480"/>
      <c r="B545" s="480"/>
      <c r="C545" s="480"/>
    </row>
    <row r="546">
      <c r="A546" s="480"/>
      <c r="B546" s="480"/>
      <c r="C546" s="480"/>
    </row>
    <row r="547">
      <c r="A547" s="480"/>
      <c r="B547" s="480"/>
      <c r="C547" s="480"/>
    </row>
    <row r="548">
      <c r="A548" s="480"/>
      <c r="B548" s="480"/>
      <c r="C548" s="480"/>
    </row>
    <row r="549">
      <c r="A549" s="480"/>
      <c r="B549" s="480"/>
      <c r="C549" s="480"/>
    </row>
    <row r="550">
      <c r="A550" s="480"/>
      <c r="B550" s="480"/>
      <c r="C550" s="480"/>
    </row>
    <row r="551">
      <c r="A551" s="480"/>
      <c r="B551" s="480"/>
      <c r="C551" s="480"/>
    </row>
    <row r="552">
      <c r="A552" s="480"/>
      <c r="B552" s="480"/>
      <c r="C552" s="480"/>
    </row>
    <row r="553">
      <c r="A553" s="480"/>
      <c r="B553" s="480"/>
      <c r="C553" s="480"/>
    </row>
    <row r="554">
      <c r="A554" s="480"/>
      <c r="B554" s="480"/>
      <c r="C554" s="480"/>
    </row>
    <row r="555">
      <c r="A555" s="480"/>
      <c r="B555" s="480"/>
      <c r="C555" s="480"/>
    </row>
    <row r="556">
      <c r="A556" s="480"/>
      <c r="B556" s="480"/>
      <c r="C556" s="480"/>
    </row>
    <row r="557">
      <c r="A557" s="480"/>
      <c r="B557" s="480"/>
      <c r="C557" s="480"/>
    </row>
    <row r="558">
      <c r="A558" s="480"/>
      <c r="B558" s="480"/>
      <c r="C558" s="480"/>
    </row>
    <row r="559">
      <c r="A559" s="480"/>
      <c r="B559" s="480"/>
      <c r="C559" s="480"/>
    </row>
    <row r="560">
      <c r="A560" s="480"/>
      <c r="B560" s="480"/>
      <c r="C560" s="480"/>
    </row>
    <row r="561">
      <c r="A561" s="480"/>
      <c r="B561" s="480"/>
      <c r="C561" s="480"/>
    </row>
    <row r="562">
      <c r="A562" s="480"/>
      <c r="B562" s="480"/>
      <c r="C562" s="480"/>
    </row>
    <row r="563">
      <c r="A563" s="480"/>
      <c r="B563" s="480"/>
      <c r="C563" s="480"/>
    </row>
    <row r="564">
      <c r="A564" s="480"/>
      <c r="B564" s="480"/>
      <c r="C564" s="480"/>
    </row>
    <row r="565">
      <c r="A565" s="480"/>
      <c r="B565" s="480"/>
      <c r="C565" s="480"/>
    </row>
    <row r="566">
      <c r="A566" s="480"/>
      <c r="B566" s="480"/>
      <c r="C566" s="480"/>
    </row>
    <row r="567">
      <c r="A567" s="480"/>
      <c r="B567" s="480"/>
      <c r="C567" s="480"/>
    </row>
    <row r="568">
      <c r="A568" s="480"/>
      <c r="B568" s="480"/>
      <c r="C568" s="480"/>
    </row>
    <row r="569">
      <c r="A569" s="480"/>
      <c r="B569" s="480"/>
      <c r="C569" s="480"/>
    </row>
    <row r="570">
      <c r="A570" s="480"/>
      <c r="B570" s="480"/>
      <c r="C570" s="480"/>
    </row>
    <row r="571">
      <c r="A571" s="480"/>
      <c r="B571" s="480"/>
      <c r="C571" s="480"/>
    </row>
    <row r="572">
      <c r="A572" s="480"/>
      <c r="B572" s="480"/>
      <c r="C572" s="480"/>
    </row>
    <row r="573">
      <c r="A573" s="480"/>
      <c r="B573" s="480"/>
      <c r="C573" s="480"/>
    </row>
    <row r="574">
      <c r="A574" s="480"/>
      <c r="B574" s="480"/>
      <c r="C574" s="480"/>
    </row>
    <row r="575">
      <c r="A575" s="480"/>
      <c r="B575" s="480"/>
      <c r="C575" s="480"/>
    </row>
    <row r="576">
      <c r="A576" s="480"/>
      <c r="B576" s="480"/>
      <c r="C576" s="480"/>
    </row>
    <row r="577">
      <c r="A577" s="480"/>
      <c r="B577" s="480"/>
      <c r="C577" s="480"/>
    </row>
    <row r="578">
      <c r="A578" s="480"/>
      <c r="B578" s="480"/>
      <c r="C578" s="480"/>
    </row>
    <row r="579">
      <c r="A579" s="480"/>
      <c r="B579" s="480"/>
      <c r="C579" s="480"/>
    </row>
    <row r="580">
      <c r="A580" s="480"/>
      <c r="B580" s="480"/>
      <c r="C580" s="480"/>
    </row>
    <row r="581">
      <c r="A581" s="480"/>
      <c r="B581" s="480"/>
      <c r="C581" s="480"/>
    </row>
    <row r="582">
      <c r="A582" s="480"/>
      <c r="B582" s="480"/>
      <c r="C582" s="480"/>
    </row>
    <row r="583">
      <c r="A583" s="480"/>
      <c r="B583" s="480"/>
      <c r="C583" s="480"/>
    </row>
    <row r="584">
      <c r="A584" s="480"/>
      <c r="B584" s="480"/>
      <c r="C584" s="480"/>
    </row>
    <row r="585">
      <c r="A585" s="480"/>
      <c r="B585" s="480"/>
      <c r="C585" s="480"/>
    </row>
    <row r="586">
      <c r="A586" s="480"/>
      <c r="B586" s="480"/>
      <c r="C586" s="480"/>
    </row>
    <row r="587">
      <c r="A587" s="480"/>
      <c r="B587" s="480"/>
      <c r="C587" s="480"/>
    </row>
    <row r="588">
      <c r="A588" s="480"/>
      <c r="B588" s="480"/>
      <c r="C588" s="480"/>
    </row>
    <row r="589">
      <c r="A589" s="480"/>
      <c r="B589" s="480"/>
      <c r="C589" s="480"/>
    </row>
    <row r="590">
      <c r="A590" s="480"/>
      <c r="B590" s="480"/>
      <c r="C590" s="480"/>
    </row>
    <row r="591">
      <c r="A591" s="480"/>
      <c r="B591" s="480"/>
      <c r="C591" s="480"/>
    </row>
    <row r="592">
      <c r="A592" s="480"/>
      <c r="B592" s="480"/>
      <c r="C592" s="480"/>
    </row>
    <row r="593">
      <c r="A593" s="480"/>
      <c r="B593" s="480"/>
      <c r="C593" s="480"/>
    </row>
    <row r="594">
      <c r="A594" s="480"/>
      <c r="B594" s="480"/>
      <c r="C594" s="480"/>
    </row>
    <row r="595">
      <c r="A595" s="480"/>
      <c r="B595" s="480"/>
      <c r="C595" s="480"/>
    </row>
    <row r="596">
      <c r="A596" s="480"/>
      <c r="B596" s="480"/>
      <c r="C596" s="480"/>
    </row>
    <row r="597">
      <c r="A597" s="480"/>
      <c r="B597" s="480"/>
      <c r="C597" s="480"/>
    </row>
    <row r="598">
      <c r="A598" s="480"/>
      <c r="B598" s="480"/>
      <c r="C598" s="480"/>
    </row>
    <row r="599">
      <c r="A599" s="480"/>
      <c r="B599" s="480"/>
      <c r="C599" s="480"/>
    </row>
    <row r="600">
      <c r="A600" s="480"/>
      <c r="B600" s="480"/>
      <c r="C600" s="480"/>
    </row>
    <row r="601">
      <c r="A601" s="480"/>
      <c r="B601" s="480"/>
      <c r="C601" s="480"/>
    </row>
    <row r="602">
      <c r="A602" s="480"/>
      <c r="B602" s="480"/>
      <c r="C602" s="480"/>
    </row>
    <row r="603">
      <c r="A603" s="480"/>
      <c r="B603" s="480"/>
      <c r="C603" s="480"/>
    </row>
    <row r="604">
      <c r="A604" s="480"/>
      <c r="B604" s="480"/>
      <c r="C604" s="480"/>
    </row>
    <row r="605">
      <c r="A605" s="480"/>
      <c r="B605" s="480"/>
      <c r="C605" s="480"/>
    </row>
    <row r="606">
      <c r="A606" s="480"/>
      <c r="B606" s="480"/>
      <c r="C606" s="480"/>
    </row>
    <row r="607">
      <c r="A607" s="480"/>
      <c r="B607" s="480"/>
      <c r="C607" s="480"/>
    </row>
    <row r="608">
      <c r="A608" s="480"/>
      <c r="B608" s="480"/>
      <c r="C608" s="480"/>
    </row>
    <row r="609">
      <c r="A609" s="480"/>
      <c r="B609" s="480"/>
      <c r="C609" s="480"/>
    </row>
    <row r="610">
      <c r="A610" s="480"/>
      <c r="B610" s="480"/>
      <c r="C610" s="480"/>
    </row>
    <row r="611">
      <c r="A611" s="480"/>
      <c r="B611" s="480"/>
      <c r="C611" s="480"/>
    </row>
    <row r="612">
      <c r="A612" s="480"/>
      <c r="B612" s="480"/>
      <c r="C612" s="480"/>
    </row>
    <row r="613">
      <c r="A613" s="480"/>
      <c r="B613" s="480"/>
      <c r="C613" s="480"/>
    </row>
    <row r="614">
      <c r="A614" s="480"/>
      <c r="B614" s="480"/>
      <c r="C614" s="480"/>
    </row>
    <row r="615">
      <c r="A615" s="480"/>
      <c r="B615" s="480"/>
      <c r="C615" s="480"/>
    </row>
    <row r="616">
      <c r="A616" s="480"/>
      <c r="B616" s="480"/>
      <c r="C616" s="480"/>
    </row>
    <row r="617">
      <c r="A617" s="480"/>
      <c r="B617" s="480"/>
      <c r="C617" s="480"/>
    </row>
    <row r="618">
      <c r="A618" s="480"/>
      <c r="B618" s="480"/>
      <c r="C618" s="480"/>
    </row>
    <row r="619">
      <c r="A619" s="480"/>
      <c r="B619" s="480"/>
      <c r="C619" s="480"/>
    </row>
    <row r="620">
      <c r="A620" s="480"/>
      <c r="B620" s="480"/>
      <c r="C620" s="480"/>
    </row>
    <row r="621">
      <c r="A621" s="480"/>
      <c r="B621" s="480"/>
      <c r="C621" s="480"/>
    </row>
    <row r="622">
      <c r="A622" s="480"/>
      <c r="B622" s="480"/>
      <c r="C622" s="480"/>
    </row>
    <row r="623">
      <c r="A623" s="480"/>
      <c r="B623" s="480"/>
      <c r="C623" s="480"/>
    </row>
    <row r="624">
      <c r="A624" s="480"/>
      <c r="B624" s="480"/>
      <c r="C624" s="480"/>
    </row>
    <row r="625">
      <c r="A625" s="480"/>
      <c r="B625" s="480"/>
      <c r="C625" s="480"/>
    </row>
    <row r="626">
      <c r="A626" s="480"/>
      <c r="B626" s="480"/>
      <c r="C626" s="480"/>
    </row>
    <row r="627">
      <c r="A627" s="480"/>
      <c r="B627" s="480"/>
      <c r="C627" s="480"/>
    </row>
    <row r="628">
      <c r="A628" s="480"/>
      <c r="B628" s="480"/>
      <c r="C628" s="480"/>
    </row>
    <row r="629">
      <c r="A629" s="480"/>
      <c r="B629" s="480"/>
      <c r="C629" s="480"/>
    </row>
    <row r="630">
      <c r="A630" s="480"/>
      <c r="B630" s="480"/>
      <c r="C630" s="480"/>
    </row>
    <row r="631">
      <c r="A631" s="480"/>
      <c r="B631" s="480"/>
      <c r="C631" s="480"/>
    </row>
    <row r="632">
      <c r="A632" s="480"/>
      <c r="B632" s="480"/>
      <c r="C632" s="480"/>
    </row>
    <row r="633">
      <c r="A633" s="480"/>
      <c r="B633" s="480"/>
      <c r="C633" s="480"/>
    </row>
    <row r="634">
      <c r="A634" s="480"/>
      <c r="B634" s="480"/>
      <c r="C634" s="480"/>
    </row>
    <row r="635">
      <c r="A635" s="480"/>
      <c r="B635" s="480"/>
      <c r="C635" s="480"/>
    </row>
    <row r="636">
      <c r="A636" s="480"/>
      <c r="B636" s="480"/>
      <c r="C636" s="480"/>
    </row>
    <row r="637">
      <c r="A637" s="480"/>
      <c r="B637" s="480"/>
      <c r="C637" s="480"/>
    </row>
    <row r="638">
      <c r="A638" s="480"/>
      <c r="B638" s="480"/>
      <c r="C638" s="480"/>
    </row>
    <row r="639">
      <c r="A639" s="480"/>
      <c r="B639" s="480"/>
      <c r="C639" s="480"/>
    </row>
    <row r="640">
      <c r="A640" s="480"/>
      <c r="B640" s="480"/>
      <c r="C640" s="480"/>
    </row>
    <row r="641">
      <c r="A641" s="480"/>
      <c r="B641" s="480"/>
      <c r="C641" s="480"/>
    </row>
    <row r="642">
      <c r="A642" s="480"/>
      <c r="B642" s="480"/>
      <c r="C642" s="480"/>
    </row>
    <row r="643">
      <c r="A643" s="480"/>
      <c r="B643" s="480"/>
      <c r="C643" s="480"/>
    </row>
    <row r="644">
      <c r="A644" s="480"/>
      <c r="B644" s="480"/>
      <c r="C644" s="480"/>
    </row>
    <row r="645">
      <c r="A645" s="480"/>
      <c r="B645" s="480"/>
      <c r="C645" s="480"/>
    </row>
    <row r="646">
      <c r="A646" s="480"/>
      <c r="B646" s="480"/>
      <c r="C646" s="480"/>
    </row>
    <row r="647">
      <c r="A647" s="480"/>
      <c r="B647" s="480"/>
      <c r="C647" s="480"/>
    </row>
    <row r="648">
      <c r="A648" s="480"/>
      <c r="B648" s="480"/>
      <c r="C648" s="480"/>
    </row>
    <row r="649">
      <c r="A649" s="480"/>
      <c r="B649" s="480"/>
      <c r="C649" s="480"/>
    </row>
    <row r="650">
      <c r="A650" s="480"/>
      <c r="B650" s="480"/>
      <c r="C650" s="480"/>
    </row>
    <row r="651">
      <c r="A651" s="480"/>
      <c r="B651" s="480"/>
      <c r="C651" s="480"/>
    </row>
    <row r="652">
      <c r="A652" s="480"/>
      <c r="B652" s="480"/>
      <c r="C652" s="480"/>
    </row>
    <row r="653">
      <c r="A653" s="480"/>
      <c r="B653" s="480"/>
      <c r="C653" s="480"/>
    </row>
    <row r="654">
      <c r="A654" s="480"/>
      <c r="B654" s="480"/>
      <c r="C654" s="480"/>
    </row>
    <row r="655">
      <c r="A655" s="480"/>
      <c r="B655" s="480"/>
      <c r="C655" s="480"/>
    </row>
    <row r="656">
      <c r="A656" s="480"/>
      <c r="B656" s="480"/>
      <c r="C656" s="480"/>
    </row>
    <row r="657">
      <c r="A657" s="480"/>
      <c r="B657" s="480"/>
      <c r="C657" s="480"/>
    </row>
    <row r="658">
      <c r="A658" s="480"/>
      <c r="B658" s="480"/>
      <c r="C658" s="480"/>
    </row>
    <row r="659">
      <c r="A659" s="480"/>
      <c r="B659" s="480"/>
      <c r="C659" s="480"/>
    </row>
    <row r="660">
      <c r="A660" s="480"/>
      <c r="B660" s="480"/>
      <c r="C660" s="480"/>
    </row>
    <row r="661">
      <c r="A661" s="480"/>
      <c r="B661" s="480"/>
      <c r="C661" s="480"/>
    </row>
    <row r="662">
      <c r="A662" s="480"/>
      <c r="B662" s="480"/>
      <c r="C662" s="480"/>
    </row>
    <row r="663">
      <c r="A663" s="480"/>
      <c r="B663" s="480"/>
      <c r="C663" s="480"/>
    </row>
    <row r="664">
      <c r="A664" s="480"/>
      <c r="B664" s="480"/>
      <c r="C664" s="480"/>
    </row>
    <row r="665">
      <c r="A665" s="480"/>
      <c r="B665" s="480"/>
      <c r="C665" s="480"/>
    </row>
    <row r="666">
      <c r="A666" s="480"/>
      <c r="B666" s="480"/>
      <c r="C666" s="480"/>
    </row>
    <row r="667">
      <c r="A667" s="480"/>
      <c r="B667" s="480"/>
      <c r="C667" s="480"/>
    </row>
    <row r="668">
      <c r="A668" s="480"/>
      <c r="B668" s="480"/>
      <c r="C668" s="480"/>
    </row>
    <row r="669">
      <c r="A669" s="480"/>
      <c r="B669" s="480"/>
      <c r="C669" s="480"/>
    </row>
    <row r="670">
      <c r="A670" s="480"/>
      <c r="B670" s="480"/>
      <c r="C670" s="480"/>
    </row>
    <row r="671">
      <c r="A671" s="480"/>
      <c r="B671" s="480"/>
      <c r="C671" s="480"/>
    </row>
    <row r="672">
      <c r="A672" s="480"/>
      <c r="B672" s="480"/>
      <c r="C672" s="480"/>
    </row>
    <row r="673">
      <c r="A673" s="480"/>
      <c r="B673" s="480"/>
      <c r="C673" s="480"/>
    </row>
    <row r="674">
      <c r="A674" s="480"/>
      <c r="B674" s="480"/>
      <c r="C674" s="480"/>
    </row>
    <row r="675">
      <c r="A675" s="480"/>
      <c r="B675" s="480"/>
      <c r="C675" s="480"/>
    </row>
    <row r="676">
      <c r="A676" s="480"/>
      <c r="B676" s="480"/>
      <c r="C676" s="480"/>
    </row>
    <row r="677">
      <c r="A677" s="480"/>
      <c r="B677" s="480"/>
      <c r="C677" s="480"/>
    </row>
    <row r="678">
      <c r="A678" s="480"/>
      <c r="B678" s="480"/>
      <c r="C678" s="480"/>
    </row>
    <row r="679">
      <c r="A679" s="480"/>
      <c r="B679" s="480"/>
      <c r="C679" s="480"/>
    </row>
    <row r="680">
      <c r="A680" s="480"/>
      <c r="B680" s="480"/>
      <c r="C680" s="480"/>
    </row>
    <row r="681">
      <c r="A681" s="480"/>
      <c r="B681" s="480"/>
      <c r="C681" s="480"/>
    </row>
    <row r="682">
      <c r="A682" s="480"/>
      <c r="B682" s="480"/>
      <c r="C682" s="480"/>
    </row>
    <row r="683">
      <c r="A683" s="480"/>
      <c r="B683" s="480"/>
      <c r="C683" s="480"/>
    </row>
    <row r="684">
      <c r="A684" s="480"/>
      <c r="B684" s="480"/>
      <c r="C684" s="480"/>
    </row>
    <row r="685">
      <c r="A685" s="480"/>
      <c r="B685" s="480"/>
      <c r="C685" s="480"/>
    </row>
    <row r="686">
      <c r="A686" s="480"/>
      <c r="B686" s="480"/>
      <c r="C686" s="480"/>
    </row>
    <row r="687">
      <c r="A687" s="480"/>
      <c r="B687" s="480"/>
      <c r="C687" s="480"/>
    </row>
    <row r="688">
      <c r="A688" s="480"/>
      <c r="B688" s="480"/>
      <c r="C688" s="480"/>
    </row>
    <row r="689">
      <c r="A689" s="480"/>
      <c r="B689" s="480"/>
      <c r="C689" s="480"/>
    </row>
    <row r="690">
      <c r="A690" s="480"/>
      <c r="B690" s="480"/>
      <c r="C690" s="480"/>
    </row>
    <row r="691">
      <c r="A691" s="480"/>
      <c r="B691" s="480"/>
      <c r="C691" s="480"/>
    </row>
    <row r="692">
      <c r="A692" s="480"/>
      <c r="B692" s="480"/>
      <c r="C692" s="480"/>
    </row>
    <row r="693">
      <c r="A693" s="480"/>
      <c r="B693" s="480"/>
      <c r="C693" s="480"/>
    </row>
    <row r="694">
      <c r="A694" s="480"/>
      <c r="B694" s="480"/>
      <c r="C694" s="480"/>
    </row>
    <row r="695">
      <c r="A695" s="480"/>
      <c r="B695" s="480"/>
      <c r="C695" s="480"/>
    </row>
    <row r="696">
      <c r="A696" s="480"/>
      <c r="B696" s="480"/>
      <c r="C696" s="480"/>
    </row>
    <row r="697">
      <c r="A697" s="480"/>
      <c r="B697" s="480"/>
      <c r="C697" s="480"/>
    </row>
    <row r="698">
      <c r="A698" s="480"/>
      <c r="B698" s="480"/>
      <c r="C698" s="480"/>
    </row>
    <row r="699">
      <c r="A699" s="480"/>
      <c r="B699" s="480"/>
      <c r="C699" s="480"/>
    </row>
    <row r="700">
      <c r="A700" s="480"/>
      <c r="B700" s="480"/>
      <c r="C700" s="480"/>
    </row>
    <row r="701">
      <c r="A701" s="480"/>
      <c r="B701" s="480"/>
      <c r="C701" s="480"/>
    </row>
    <row r="702">
      <c r="A702" s="480"/>
      <c r="B702" s="480"/>
      <c r="C702" s="480"/>
    </row>
    <row r="703">
      <c r="A703" s="480"/>
      <c r="B703" s="480"/>
      <c r="C703" s="480"/>
    </row>
    <row r="704">
      <c r="A704" s="480"/>
      <c r="B704" s="480"/>
      <c r="C704" s="480"/>
    </row>
    <row r="705">
      <c r="A705" s="480"/>
      <c r="B705" s="480"/>
      <c r="C705" s="480"/>
    </row>
    <row r="706">
      <c r="A706" s="480"/>
      <c r="B706" s="480"/>
      <c r="C706" s="480"/>
    </row>
    <row r="707">
      <c r="A707" s="480"/>
      <c r="B707" s="480"/>
      <c r="C707" s="480"/>
    </row>
    <row r="708">
      <c r="A708" s="480"/>
      <c r="B708" s="480"/>
      <c r="C708" s="480"/>
    </row>
    <row r="709">
      <c r="A709" s="480"/>
      <c r="B709" s="480"/>
      <c r="C709" s="480"/>
    </row>
    <row r="710">
      <c r="A710" s="480"/>
      <c r="B710" s="480"/>
      <c r="C710" s="480"/>
    </row>
    <row r="711">
      <c r="A711" s="480"/>
      <c r="B711" s="480"/>
      <c r="C711" s="480"/>
    </row>
    <row r="712">
      <c r="A712" s="480"/>
      <c r="B712" s="480"/>
      <c r="C712" s="480"/>
    </row>
    <row r="713">
      <c r="A713" s="480"/>
      <c r="B713" s="480"/>
      <c r="C713" s="480"/>
    </row>
    <row r="714">
      <c r="A714" s="480"/>
      <c r="B714" s="480"/>
      <c r="C714" s="480"/>
    </row>
    <row r="715">
      <c r="A715" s="480"/>
      <c r="B715" s="480"/>
      <c r="C715" s="480"/>
    </row>
    <row r="716">
      <c r="A716" s="480"/>
      <c r="B716" s="480"/>
      <c r="C716" s="480"/>
    </row>
    <row r="717">
      <c r="A717" s="480"/>
      <c r="B717" s="480"/>
      <c r="C717" s="480"/>
    </row>
    <row r="718">
      <c r="A718" s="480"/>
      <c r="B718" s="480"/>
      <c r="C718" s="480"/>
    </row>
    <row r="719">
      <c r="A719" s="480"/>
      <c r="B719" s="480"/>
      <c r="C719" s="480"/>
    </row>
    <row r="720">
      <c r="A720" s="480"/>
      <c r="B720" s="480"/>
      <c r="C720" s="480"/>
    </row>
    <row r="721">
      <c r="A721" s="480"/>
      <c r="B721" s="480"/>
      <c r="C721" s="480"/>
    </row>
    <row r="722">
      <c r="A722" s="480"/>
      <c r="B722" s="480"/>
      <c r="C722" s="480"/>
    </row>
    <row r="723">
      <c r="A723" s="480"/>
      <c r="B723" s="480"/>
      <c r="C723" s="480"/>
    </row>
    <row r="724">
      <c r="A724" s="480"/>
      <c r="B724" s="480"/>
      <c r="C724" s="480"/>
    </row>
    <row r="725">
      <c r="A725" s="480"/>
      <c r="B725" s="480"/>
      <c r="C725" s="480"/>
    </row>
    <row r="726">
      <c r="A726" s="480"/>
      <c r="B726" s="480"/>
      <c r="C726" s="480"/>
    </row>
    <row r="727">
      <c r="A727" s="480"/>
      <c r="B727" s="480"/>
      <c r="C727" s="480"/>
    </row>
    <row r="728">
      <c r="A728" s="480"/>
      <c r="B728" s="480"/>
      <c r="C728" s="480"/>
    </row>
    <row r="729">
      <c r="A729" s="480"/>
      <c r="B729" s="480"/>
      <c r="C729" s="480"/>
    </row>
    <row r="730">
      <c r="A730" s="480"/>
      <c r="B730" s="480"/>
      <c r="C730" s="480"/>
    </row>
    <row r="731">
      <c r="A731" s="480"/>
      <c r="B731" s="480"/>
      <c r="C731" s="480"/>
    </row>
    <row r="732">
      <c r="A732" s="480"/>
      <c r="B732" s="480"/>
      <c r="C732" s="480"/>
    </row>
    <row r="733">
      <c r="A733" s="480"/>
      <c r="B733" s="480"/>
      <c r="C733" s="480"/>
    </row>
    <row r="734">
      <c r="A734" s="480"/>
      <c r="B734" s="480"/>
      <c r="C734" s="480"/>
    </row>
    <row r="735">
      <c r="A735" s="480"/>
      <c r="B735" s="480"/>
      <c r="C735" s="480"/>
    </row>
    <row r="736">
      <c r="A736" s="480"/>
      <c r="B736" s="480"/>
      <c r="C736" s="480"/>
    </row>
    <row r="737">
      <c r="A737" s="480"/>
      <c r="B737" s="480"/>
      <c r="C737" s="480"/>
    </row>
    <row r="738">
      <c r="A738" s="480"/>
      <c r="B738" s="480"/>
      <c r="C738" s="480"/>
    </row>
    <row r="739">
      <c r="A739" s="480"/>
      <c r="B739" s="480"/>
      <c r="C739" s="480"/>
    </row>
    <row r="740">
      <c r="A740" s="480"/>
      <c r="B740" s="480"/>
      <c r="C740" s="480"/>
    </row>
    <row r="741">
      <c r="A741" s="480"/>
      <c r="B741" s="480"/>
      <c r="C741" s="480"/>
    </row>
    <row r="742">
      <c r="A742" s="480"/>
      <c r="B742" s="480"/>
      <c r="C742" s="480"/>
    </row>
    <row r="743">
      <c r="A743" s="480"/>
      <c r="B743" s="480"/>
      <c r="C743" s="480"/>
    </row>
    <row r="744">
      <c r="A744" s="480"/>
      <c r="B744" s="480"/>
      <c r="C744" s="480"/>
    </row>
    <row r="745">
      <c r="A745" s="480"/>
      <c r="B745" s="480"/>
      <c r="C745" s="480"/>
    </row>
    <row r="746">
      <c r="A746" s="480"/>
      <c r="B746" s="480"/>
      <c r="C746" s="480"/>
    </row>
    <row r="747">
      <c r="A747" s="480"/>
      <c r="B747" s="480"/>
      <c r="C747" s="480"/>
    </row>
    <row r="748">
      <c r="A748" s="480"/>
      <c r="B748" s="480"/>
      <c r="C748" s="480"/>
    </row>
    <row r="749">
      <c r="A749" s="480"/>
      <c r="B749" s="480"/>
      <c r="C749" s="480"/>
    </row>
    <row r="750">
      <c r="A750" s="480"/>
      <c r="B750" s="480"/>
      <c r="C750" s="480"/>
    </row>
    <row r="751">
      <c r="A751" s="480"/>
      <c r="B751" s="480"/>
      <c r="C751" s="480"/>
    </row>
    <row r="752">
      <c r="A752" s="480"/>
      <c r="B752" s="480"/>
      <c r="C752" s="480"/>
    </row>
    <row r="753">
      <c r="A753" s="480"/>
      <c r="B753" s="480"/>
      <c r="C753" s="480"/>
    </row>
    <row r="754">
      <c r="A754" s="480"/>
      <c r="B754" s="480"/>
      <c r="C754" s="480"/>
    </row>
    <row r="755">
      <c r="A755" s="480"/>
      <c r="B755" s="480"/>
      <c r="C755" s="480"/>
    </row>
    <row r="756">
      <c r="A756" s="480"/>
      <c r="B756" s="480"/>
      <c r="C756" s="480"/>
    </row>
    <row r="757">
      <c r="A757" s="480"/>
      <c r="B757" s="480"/>
      <c r="C757" s="480"/>
    </row>
    <row r="758">
      <c r="A758" s="480"/>
      <c r="B758" s="480"/>
      <c r="C758" s="480"/>
    </row>
    <row r="759">
      <c r="A759" s="480"/>
      <c r="B759" s="480"/>
      <c r="C759" s="480"/>
    </row>
    <row r="760">
      <c r="A760" s="480"/>
      <c r="B760" s="480"/>
      <c r="C760" s="480"/>
    </row>
    <row r="761">
      <c r="A761" s="480"/>
      <c r="B761" s="480"/>
      <c r="C761" s="480"/>
    </row>
    <row r="762">
      <c r="A762" s="480"/>
      <c r="B762" s="480"/>
      <c r="C762" s="480"/>
    </row>
    <row r="763">
      <c r="A763" s="480"/>
      <c r="B763" s="480"/>
      <c r="C763" s="480"/>
    </row>
    <row r="764">
      <c r="A764" s="480"/>
      <c r="B764" s="480"/>
      <c r="C764" s="480"/>
    </row>
    <row r="765">
      <c r="A765" s="480"/>
      <c r="B765" s="480"/>
      <c r="C765" s="480"/>
    </row>
    <row r="766">
      <c r="A766" s="480"/>
      <c r="B766" s="480"/>
      <c r="C766" s="480"/>
    </row>
    <row r="767">
      <c r="A767" s="480"/>
      <c r="B767" s="480"/>
      <c r="C767" s="480"/>
    </row>
    <row r="768">
      <c r="A768" s="480"/>
      <c r="B768" s="480"/>
      <c r="C768" s="480"/>
    </row>
    <row r="769">
      <c r="A769" s="480"/>
      <c r="B769" s="480"/>
      <c r="C769" s="480"/>
    </row>
    <row r="770">
      <c r="A770" s="480"/>
      <c r="B770" s="480"/>
      <c r="C770" s="480"/>
    </row>
    <row r="771">
      <c r="A771" s="480"/>
      <c r="B771" s="480"/>
      <c r="C771" s="480"/>
    </row>
    <row r="772">
      <c r="A772" s="480"/>
      <c r="B772" s="480"/>
      <c r="C772" s="480"/>
    </row>
    <row r="773">
      <c r="A773" s="480"/>
      <c r="B773" s="480"/>
      <c r="C773" s="480"/>
    </row>
    <row r="774">
      <c r="A774" s="480"/>
      <c r="B774" s="480"/>
      <c r="C774" s="480"/>
    </row>
    <row r="775">
      <c r="A775" s="480"/>
      <c r="B775" s="480"/>
      <c r="C775" s="480"/>
    </row>
    <row r="776">
      <c r="A776" s="480"/>
      <c r="B776" s="480"/>
      <c r="C776" s="480"/>
    </row>
    <row r="777">
      <c r="A777" s="480"/>
      <c r="B777" s="480"/>
      <c r="C777" s="480"/>
    </row>
    <row r="778">
      <c r="A778" s="480"/>
      <c r="B778" s="480"/>
      <c r="C778" s="480"/>
    </row>
    <row r="779">
      <c r="A779" s="480"/>
      <c r="B779" s="480"/>
      <c r="C779" s="480"/>
    </row>
    <row r="780">
      <c r="A780" s="480"/>
      <c r="B780" s="480"/>
      <c r="C780" s="480"/>
    </row>
    <row r="781">
      <c r="A781" s="480"/>
      <c r="B781" s="480"/>
      <c r="C781" s="480"/>
    </row>
    <row r="782">
      <c r="A782" s="480"/>
      <c r="B782" s="480"/>
      <c r="C782" s="480"/>
    </row>
    <row r="783">
      <c r="A783" s="480"/>
      <c r="B783" s="480"/>
      <c r="C783" s="480"/>
    </row>
    <row r="784">
      <c r="A784" s="480"/>
      <c r="B784" s="480"/>
      <c r="C784" s="480"/>
    </row>
    <row r="785">
      <c r="A785" s="480"/>
      <c r="B785" s="480"/>
      <c r="C785" s="480"/>
    </row>
    <row r="786">
      <c r="A786" s="480"/>
      <c r="B786" s="480"/>
      <c r="C786" s="480"/>
    </row>
    <row r="787">
      <c r="A787" s="480"/>
      <c r="B787" s="480"/>
      <c r="C787" s="480"/>
    </row>
    <row r="788">
      <c r="A788" s="480"/>
      <c r="B788" s="480"/>
      <c r="C788" s="480"/>
    </row>
    <row r="789">
      <c r="A789" s="480"/>
      <c r="B789" s="480"/>
      <c r="C789" s="480"/>
    </row>
    <row r="790">
      <c r="A790" s="480"/>
      <c r="B790" s="480"/>
      <c r="C790" s="480"/>
    </row>
    <row r="791">
      <c r="A791" s="480"/>
      <c r="B791" s="480"/>
      <c r="C791" s="480"/>
    </row>
    <row r="792">
      <c r="A792" s="480"/>
      <c r="B792" s="480"/>
      <c r="C792" s="480"/>
    </row>
    <row r="793">
      <c r="A793" s="480"/>
      <c r="B793" s="480"/>
      <c r="C793" s="480"/>
    </row>
    <row r="794">
      <c r="A794" s="480"/>
      <c r="B794" s="480"/>
      <c r="C794" s="480"/>
    </row>
    <row r="795">
      <c r="A795" s="480"/>
      <c r="B795" s="480"/>
      <c r="C795" s="480"/>
    </row>
    <row r="796">
      <c r="A796" s="480"/>
      <c r="B796" s="480"/>
      <c r="C796" s="480"/>
    </row>
    <row r="797">
      <c r="A797" s="480"/>
      <c r="B797" s="480"/>
      <c r="C797" s="480"/>
    </row>
    <row r="798">
      <c r="A798" s="480"/>
      <c r="B798" s="480"/>
      <c r="C798" s="480"/>
    </row>
    <row r="799">
      <c r="A799" s="480"/>
      <c r="B799" s="480"/>
      <c r="C799" s="480"/>
    </row>
    <row r="800">
      <c r="A800" s="480"/>
      <c r="B800" s="480"/>
      <c r="C800" s="480"/>
    </row>
    <row r="801">
      <c r="A801" s="480"/>
      <c r="B801" s="480"/>
      <c r="C801" s="480"/>
    </row>
    <row r="802">
      <c r="A802" s="480"/>
      <c r="B802" s="480"/>
      <c r="C802" s="480"/>
    </row>
    <row r="803">
      <c r="A803" s="480"/>
      <c r="B803" s="480"/>
      <c r="C803" s="480"/>
    </row>
    <row r="804">
      <c r="A804" s="480"/>
      <c r="B804" s="480"/>
      <c r="C804" s="480"/>
    </row>
    <row r="805">
      <c r="A805" s="480"/>
      <c r="B805" s="480"/>
      <c r="C805" s="480"/>
    </row>
    <row r="806">
      <c r="A806" s="480"/>
      <c r="B806" s="480"/>
      <c r="C806" s="480"/>
    </row>
    <row r="807">
      <c r="A807" s="480"/>
      <c r="B807" s="480"/>
      <c r="C807" s="480"/>
    </row>
    <row r="808">
      <c r="A808" s="480"/>
      <c r="B808" s="480"/>
      <c r="C808" s="480"/>
    </row>
    <row r="809">
      <c r="A809" s="480"/>
      <c r="B809" s="480"/>
      <c r="C809" s="480"/>
    </row>
    <row r="810">
      <c r="A810" s="480"/>
      <c r="B810" s="480"/>
      <c r="C810" s="480"/>
    </row>
    <row r="811">
      <c r="A811" s="480"/>
      <c r="B811" s="480"/>
      <c r="C811" s="480"/>
    </row>
    <row r="812">
      <c r="A812" s="480"/>
      <c r="B812" s="480"/>
      <c r="C812" s="480"/>
    </row>
    <row r="813">
      <c r="A813" s="480"/>
      <c r="B813" s="480"/>
      <c r="C813" s="480"/>
    </row>
    <row r="814">
      <c r="A814" s="480"/>
      <c r="B814" s="480"/>
      <c r="C814" s="480"/>
    </row>
    <row r="815">
      <c r="A815" s="480"/>
      <c r="B815" s="480"/>
      <c r="C815" s="480"/>
    </row>
    <row r="816">
      <c r="A816" s="480"/>
      <c r="B816" s="480"/>
      <c r="C816" s="480"/>
    </row>
    <row r="817">
      <c r="A817" s="480"/>
      <c r="B817" s="480"/>
      <c r="C817" s="480"/>
    </row>
    <row r="818">
      <c r="A818" s="480"/>
      <c r="B818" s="480"/>
      <c r="C818" s="480"/>
    </row>
    <row r="819">
      <c r="A819" s="480"/>
      <c r="B819" s="480"/>
      <c r="C819" s="480"/>
    </row>
    <row r="820">
      <c r="A820" s="480"/>
      <c r="B820" s="480"/>
      <c r="C820" s="480"/>
    </row>
    <row r="821">
      <c r="A821" s="480"/>
      <c r="B821" s="480"/>
      <c r="C821" s="480"/>
    </row>
    <row r="822">
      <c r="A822" s="480"/>
      <c r="B822" s="480"/>
      <c r="C822" s="480"/>
    </row>
    <row r="823">
      <c r="A823" s="480"/>
      <c r="B823" s="480"/>
      <c r="C823" s="480"/>
    </row>
    <row r="824">
      <c r="A824" s="480"/>
      <c r="B824" s="480"/>
      <c r="C824" s="480"/>
    </row>
    <row r="825">
      <c r="A825" s="480"/>
      <c r="B825" s="480"/>
      <c r="C825" s="480"/>
    </row>
    <row r="826">
      <c r="A826" s="480"/>
      <c r="B826" s="480"/>
      <c r="C826" s="480"/>
    </row>
    <row r="827">
      <c r="A827" s="480"/>
      <c r="B827" s="480"/>
      <c r="C827" s="480"/>
    </row>
    <row r="828">
      <c r="A828" s="480"/>
      <c r="B828" s="480"/>
      <c r="C828" s="480"/>
    </row>
    <row r="829">
      <c r="A829" s="480"/>
      <c r="B829" s="480"/>
      <c r="C829" s="480"/>
    </row>
    <row r="830">
      <c r="A830" s="480"/>
      <c r="B830" s="480"/>
      <c r="C830" s="480"/>
    </row>
    <row r="831">
      <c r="A831" s="480"/>
      <c r="B831" s="480"/>
      <c r="C831" s="480"/>
    </row>
    <row r="832">
      <c r="A832" s="480"/>
      <c r="B832" s="480"/>
      <c r="C832" s="480"/>
    </row>
    <row r="833">
      <c r="A833" s="480"/>
      <c r="B833" s="480"/>
      <c r="C833" s="480"/>
    </row>
    <row r="834">
      <c r="A834" s="480"/>
      <c r="B834" s="480"/>
      <c r="C834" s="480"/>
    </row>
    <row r="835">
      <c r="A835" s="480"/>
      <c r="B835" s="480"/>
      <c r="C835" s="480"/>
    </row>
    <row r="836">
      <c r="A836" s="480"/>
      <c r="B836" s="480"/>
      <c r="C836" s="480"/>
    </row>
    <row r="837">
      <c r="A837" s="480"/>
      <c r="B837" s="480"/>
      <c r="C837" s="480"/>
    </row>
    <row r="838">
      <c r="A838" s="480"/>
      <c r="B838" s="480"/>
      <c r="C838" s="480"/>
    </row>
    <row r="839">
      <c r="A839" s="480"/>
      <c r="B839" s="480"/>
      <c r="C839" s="480"/>
    </row>
    <row r="840">
      <c r="A840" s="480"/>
      <c r="B840" s="480"/>
      <c r="C840" s="480"/>
    </row>
    <row r="841">
      <c r="A841" s="480"/>
      <c r="B841" s="480"/>
      <c r="C841" s="480"/>
    </row>
    <row r="842">
      <c r="A842" s="480"/>
      <c r="B842" s="480"/>
      <c r="C842" s="480"/>
    </row>
    <row r="843">
      <c r="A843" s="480"/>
      <c r="B843" s="480"/>
      <c r="C843" s="480"/>
    </row>
    <row r="844">
      <c r="A844" s="480"/>
      <c r="B844" s="480"/>
      <c r="C844" s="480"/>
    </row>
    <row r="845">
      <c r="A845" s="480"/>
      <c r="B845" s="480"/>
      <c r="C845" s="480"/>
    </row>
    <row r="846">
      <c r="A846" s="480"/>
      <c r="B846" s="480"/>
      <c r="C846" s="480"/>
    </row>
    <row r="847">
      <c r="A847" s="480"/>
      <c r="B847" s="480"/>
      <c r="C847" s="480"/>
    </row>
    <row r="848">
      <c r="A848" s="480"/>
      <c r="B848" s="480"/>
      <c r="C848" s="480"/>
    </row>
    <row r="849">
      <c r="A849" s="480"/>
      <c r="B849" s="480"/>
      <c r="C849" s="480"/>
    </row>
    <row r="850">
      <c r="A850" s="480"/>
      <c r="B850" s="480"/>
      <c r="C850" s="480"/>
    </row>
    <row r="851">
      <c r="A851" s="480"/>
      <c r="B851" s="480"/>
      <c r="C851" s="480"/>
    </row>
    <row r="852">
      <c r="A852" s="480"/>
      <c r="B852" s="480"/>
      <c r="C852" s="480"/>
    </row>
    <row r="853">
      <c r="A853" s="480"/>
      <c r="B853" s="480"/>
      <c r="C853" s="480"/>
    </row>
    <row r="854">
      <c r="A854" s="480"/>
      <c r="B854" s="480"/>
      <c r="C854" s="480"/>
    </row>
    <row r="855">
      <c r="A855" s="480"/>
      <c r="B855" s="480"/>
      <c r="C855" s="480"/>
    </row>
    <row r="856">
      <c r="A856" s="480"/>
      <c r="B856" s="480"/>
      <c r="C856" s="480"/>
    </row>
    <row r="857">
      <c r="A857" s="480"/>
      <c r="B857" s="480"/>
      <c r="C857" s="480"/>
    </row>
    <row r="858">
      <c r="A858" s="480"/>
      <c r="B858" s="480"/>
      <c r="C858" s="480"/>
    </row>
    <row r="859">
      <c r="A859" s="480"/>
      <c r="B859" s="480"/>
      <c r="C859" s="480"/>
    </row>
    <row r="860">
      <c r="A860" s="480"/>
      <c r="B860" s="480"/>
      <c r="C860" s="480"/>
    </row>
    <row r="861">
      <c r="A861" s="480"/>
      <c r="B861" s="480"/>
      <c r="C861" s="480"/>
    </row>
    <row r="862">
      <c r="A862" s="480"/>
      <c r="B862" s="480"/>
      <c r="C862" s="480"/>
    </row>
    <row r="863">
      <c r="A863" s="480"/>
      <c r="B863" s="480"/>
      <c r="C863" s="480"/>
    </row>
    <row r="864">
      <c r="A864" s="480"/>
      <c r="B864" s="480"/>
      <c r="C864" s="480"/>
    </row>
    <row r="865">
      <c r="A865" s="480"/>
      <c r="B865" s="480"/>
      <c r="C865" s="480"/>
    </row>
    <row r="866">
      <c r="A866" s="480"/>
      <c r="B866" s="480"/>
      <c r="C866" s="480"/>
    </row>
    <row r="867">
      <c r="A867" s="480"/>
      <c r="B867" s="480"/>
      <c r="C867" s="480"/>
    </row>
    <row r="868">
      <c r="A868" s="480"/>
      <c r="B868" s="480"/>
      <c r="C868" s="480"/>
    </row>
    <row r="869">
      <c r="A869" s="480"/>
      <c r="B869" s="480"/>
      <c r="C869" s="480"/>
    </row>
    <row r="870">
      <c r="A870" s="480"/>
      <c r="B870" s="480"/>
      <c r="C870" s="480"/>
    </row>
    <row r="871">
      <c r="A871" s="480"/>
      <c r="B871" s="480"/>
      <c r="C871" s="480"/>
    </row>
    <row r="872">
      <c r="A872" s="480"/>
      <c r="B872" s="480"/>
      <c r="C872" s="480"/>
    </row>
    <row r="873">
      <c r="A873" s="480"/>
      <c r="B873" s="480"/>
      <c r="C873" s="480"/>
    </row>
    <row r="874">
      <c r="A874" s="480"/>
      <c r="B874" s="480"/>
      <c r="C874" s="480"/>
    </row>
    <row r="875">
      <c r="A875" s="480"/>
      <c r="B875" s="480"/>
      <c r="C875" s="480"/>
    </row>
    <row r="876">
      <c r="A876" s="480"/>
      <c r="B876" s="480"/>
      <c r="C876" s="480"/>
    </row>
    <row r="877">
      <c r="A877" s="480"/>
      <c r="B877" s="480"/>
      <c r="C877" s="480"/>
    </row>
    <row r="878">
      <c r="A878" s="480"/>
      <c r="B878" s="480"/>
      <c r="C878" s="480"/>
    </row>
    <row r="879">
      <c r="A879" s="480"/>
      <c r="B879" s="480"/>
      <c r="C879" s="480"/>
    </row>
    <row r="880">
      <c r="A880" s="480"/>
      <c r="B880" s="480"/>
      <c r="C880" s="480"/>
    </row>
    <row r="881">
      <c r="A881" s="480"/>
      <c r="B881" s="480"/>
      <c r="C881" s="480"/>
    </row>
    <row r="882">
      <c r="A882" s="480"/>
      <c r="B882" s="480"/>
      <c r="C882" s="480"/>
    </row>
    <row r="883">
      <c r="A883" s="480"/>
      <c r="B883" s="480"/>
      <c r="C883" s="480"/>
    </row>
    <row r="884">
      <c r="A884" s="480"/>
      <c r="B884" s="480"/>
      <c r="C884" s="480"/>
    </row>
    <row r="885">
      <c r="A885" s="480"/>
      <c r="B885" s="480"/>
      <c r="C885" s="480"/>
    </row>
    <row r="886">
      <c r="A886" s="480"/>
      <c r="B886" s="480"/>
      <c r="C886" s="480"/>
    </row>
    <row r="887">
      <c r="A887" s="480"/>
      <c r="B887" s="480"/>
      <c r="C887" s="480"/>
    </row>
    <row r="888">
      <c r="A888" s="480"/>
      <c r="B888" s="480"/>
      <c r="C888" s="480"/>
    </row>
    <row r="889">
      <c r="A889" s="480"/>
      <c r="B889" s="480"/>
      <c r="C889" s="480"/>
    </row>
    <row r="890">
      <c r="A890" s="480"/>
      <c r="B890" s="480"/>
      <c r="C890" s="480"/>
    </row>
    <row r="891">
      <c r="A891" s="480"/>
      <c r="B891" s="480"/>
      <c r="C891" s="480"/>
    </row>
    <row r="892">
      <c r="A892" s="480"/>
      <c r="B892" s="480"/>
      <c r="C892" s="480"/>
    </row>
    <row r="893">
      <c r="A893" s="480"/>
      <c r="B893" s="480"/>
      <c r="C893" s="480"/>
    </row>
    <row r="894">
      <c r="A894" s="480"/>
      <c r="B894" s="480"/>
      <c r="C894" s="480"/>
    </row>
    <row r="895">
      <c r="A895" s="480"/>
      <c r="B895" s="480"/>
      <c r="C895" s="480"/>
    </row>
    <row r="896">
      <c r="A896" s="480"/>
      <c r="B896" s="480"/>
      <c r="C896" s="480"/>
    </row>
    <row r="897">
      <c r="A897" s="480"/>
      <c r="B897" s="480"/>
      <c r="C897" s="480"/>
    </row>
    <row r="898">
      <c r="A898" s="480"/>
      <c r="B898" s="480"/>
      <c r="C898" s="480"/>
    </row>
    <row r="899">
      <c r="A899" s="480"/>
      <c r="B899" s="480"/>
      <c r="C899" s="480"/>
    </row>
    <row r="900">
      <c r="A900" s="480"/>
      <c r="B900" s="480"/>
      <c r="C900" s="480"/>
    </row>
    <row r="901">
      <c r="A901" s="480"/>
      <c r="B901" s="480"/>
      <c r="C901" s="480"/>
    </row>
    <row r="902">
      <c r="A902" s="480"/>
      <c r="B902" s="480"/>
      <c r="C902" s="480"/>
    </row>
    <row r="903">
      <c r="A903" s="480"/>
      <c r="B903" s="480"/>
      <c r="C903" s="480"/>
    </row>
    <row r="904">
      <c r="A904" s="480"/>
      <c r="B904" s="480"/>
      <c r="C904" s="480"/>
    </row>
    <row r="905">
      <c r="A905" s="480"/>
      <c r="B905" s="480"/>
      <c r="C905" s="480"/>
    </row>
    <row r="906">
      <c r="A906" s="480"/>
      <c r="B906" s="480"/>
      <c r="C906" s="480"/>
    </row>
    <row r="907">
      <c r="A907" s="480"/>
      <c r="B907" s="480"/>
      <c r="C907" s="480"/>
    </row>
    <row r="908">
      <c r="A908" s="480"/>
      <c r="B908" s="480"/>
      <c r="C908" s="480"/>
    </row>
    <row r="909">
      <c r="A909" s="480"/>
      <c r="B909" s="480"/>
      <c r="C909" s="480"/>
    </row>
    <row r="910">
      <c r="A910" s="480"/>
      <c r="B910" s="480"/>
      <c r="C910" s="480"/>
    </row>
    <row r="911">
      <c r="A911" s="480"/>
      <c r="B911" s="480"/>
      <c r="C911" s="480"/>
    </row>
    <row r="912">
      <c r="A912" s="480"/>
      <c r="B912" s="480"/>
      <c r="C912" s="480"/>
    </row>
    <row r="913">
      <c r="A913" s="480"/>
      <c r="B913" s="480"/>
      <c r="C913" s="480"/>
    </row>
    <row r="914">
      <c r="A914" s="480"/>
      <c r="B914" s="480"/>
      <c r="C914" s="480"/>
    </row>
    <row r="915">
      <c r="A915" s="480"/>
      <c r="B915" s="480"/>
      <c r="C915" s="480"/>
    </row>
    <row r="916">
      <c r="A916" s="480"/>
      <c r="B916" s="480"/>
      <c r="C916" s="480"/>
    </row>
    <row r="917">
      <c r="A917" s="480"/>
      <c r="B917" s="480"/>
      <c r="C917" s="480"/>
    </row>
    <row r="918">
      <c r="A918" s="480"/>
      <c r="B918" s="480"/>
      <c r="C918" s="480"/>
    </row>
    <row r="919">
      <c r="A919" s="480"/>
      <c r="B919" s="480"/>
      <c r="C919" s="480"/>
    </row>
    <row r="920">
      <c r="A920" s="480"/>
      <c r="B920" s="480"/>
      <c r="C920" s="480"/>
    </row>
    <row r="921">
      <c r="A921" s="480"/>
      <c r="B921" s="480"/>
      <c r="C921" s="480"/>
    </row>
    <row r="922">
      <c r="A922" s="480"/>
      <c r="B922" s="480"/>
      <c r="C922" s="480"/>
    </row>
    <row r="923">
      <c r="A923" s="480"/>
      <c r="B923" s="480"/>
      <c r="C923" s="480"/>
    </row>
    <row r="924">
      <c r="A924" s="480"/>
      <c r="B924" s="480"/>
      <c r="C924" s="480"/>
    </row>
    <row r="925">
      <c r="A925" s="480"/>
      <c r="B925" s="480"/>
      <c r="C925" s="480"/>
    </row>
    <row r="926">
      <c r="A926" s="480"/>
      <c r="B926" s="480"/>
      <c r="C926" s="480"/>
    </row>
    <row r="927">
      <c r="A927" s="480"/>
      <c r="B927" s="480"/>
      <c r="C927" s="480"/>
    </row>
    <row r="928">
      <c r="A928" s="480"/>
      <c r="B928" s="480"/>
      <c r="C928" s="480"/>
    </row>
    <row r="929">
      <c r="A929" s="480"/>
      <c r="B929" s="480"/>
      <c r="C929" s="480"/>
    </row>
    <row r="930">
      <c r="A930" s="480"/>
      <c r="B930" s="480"/>
      <c r="C930" s="480"/>
    </row>
    <row r="931">
      <c r="A931" s="480"/>
      <c r="B931" s="480"/>
      <c r="C931" s="480"/>
    </row>
    <row r="932">
      <c r="A932" s="480"/>
      <c r="B932" s="480"/>
      <c r="C932" s="480"/>
    </row>
    <row r="933">
      <c r="A933" s="480"/>
      <c r="B933" s="480"/>
      <c r="C933" s="480"/>
    </row>
    <row r="934">
      <c r="A934" s="480"/>
      <c r="B934" s="480"/>
      <c r="C934" s="480"/>
    </row>
    <row r="935">
      <c r="A935" s="480"/>
      <c r="B935" s="480"/>
      <c r="C935" s="480"/>
    </row>
    <row r="936">
      <c r="A936" s="480"/>
      <c r="B936" s="480"/>
      <c r="C936" s="480"/>
    </row>
    <row r="937">
      <c r="A937" s="480"/>
      <c r="B937" s="480"/>
      <c r="C937" s="480"/>
    </row>
    <row r="938">
      <c r="A938" s="480"/>
      <c r="B938" s="480"/>
      <c r="C938" s="480"/>
    </row>
    <row r="939">
      <c r="A939" s="480"/>
      <c r="B939" s="480"/>
      <c r="C939" s="480"/>
    </row>
    <row r="940">
      <c r="A940" s="480"/>
      <c r="B940" s="480"/>
      <c r="C940" s="480"/>
    </row>
    <row r="941">
      <c r="A941" s="480"/>
      <c r="B941" s="480"/>
      <c r="C941" s="480"/>
    </row>
    <row r="942">
      <c r="A942" s="480"/>
      <c r="B942" s="480"/>
      <c r="C942" s="480"/>
    </row>
    <row r="943">
      <c r="A943" s="480"/>
      <c r="B943" s="480"/>
      <c r="C943" s="480"/>
    </row>
    <row r="944">
      <c r="A944" s="480"/>
      <c r="B944" s="480"/>
      <c r="C944" s="480"/>
    </row>
    <row r="945">
      <c r="A945" s="480"/>
      <c r="B945" s="480"/>
      <c r="C945" s="480"/>
    </row>
    <row r="946">
      <c r="A946" s="480"/>
      <c r="B946" s="480"/>
      <c r="C946" s="480"/>
    </row>
    <row r="947">
      <c r="A947" s="480"/>
      <c r="B947" s="480"/>
      <c r="C947" s="480"/>
    </row>
    <row r="948">
      <c r="A948" s="480"/>
      <c r="B948" s="480"/>
      <c r="C948" s="480"/>
    </row>
    <row r="949">
      <c r="A949" s="480"/>
      <c r="B949" s="480"/>
      <c r="C949" s="480"/>
    </row>
    <row r="950">
      <c r="A950" s="480"/>
      <c r="B950" s="480"/>
      <c r="C950" s="480"/>
    </row>
    <row r="951">
      <c r="A951" s="480"/>
      <c r="B951" s="480"/>
      <c r="C951" s="480"/>
    </row>
    <row r="952">
      <c r="A952" s="480"/>
      <c r="B952" s="480"/>
      <c r="C952" s="480"/>
    </row>
    <row r="953">
      <c r="A953" s="480"/>
      <c r="B953" s="480"/>
      <c r="C953" s="480"/>
    </row>
    <row r="954">
      <c r="A954" s="480"/>
      <c r="B954" s="480"/>
      <c r="C954" s="480"/>
    </row>
    <row r="955">
      <c r="A955" s="480"/>
      <c r="B955" s="480"/>
      <c r="C955" s="480"/>
    </row>
    <row r="956">
      <c r="A956" s="480"/>
      <c r="B956" s="480"/>
      <c r="C956" s="480"/>
    </row>
    <row r="957">
      <c r="A957" s="480"/>
      <c r="B957" s="480"/>
      <c r="C957" s="480"/>
    </row>
    <row r="958">
      <c r="A958" s="480"/>
      <c r="B958" s="480"/>
      <c r="C958" s="480"/>
    </row>
    <row r="959">
      <c r="A959" s="480"/>
      <c r="B959" s="480"/>
      <c r="C959" s="480"/>
    </row>
    <row r="960">
      <c r="A960" s="480"/>
      <c r="B960" s="480"/>
      <c r="C960" s="480"/>
    </row>
    <row r="961">
      <c r="A961" s="480"/>
      <c r="B961" s="480"/>
      <c r="C961" s="480"/>
    </row>
    <row r="962">
      <c r="A962" s="480"/>
      <c r="B962" s="480"/>
      <c r="C962" s="480"/>
    </row>
    <row r="963">
      <c r="A963" s="480"/>
      <c r="B963" s="480"/>
      <c r="C963" s="480"/>
    </row>
    <row r="964">
      <c r="A964" s="480"/>
      <c r="B964" s="480"/>
      <c r="C964" s="480"/>
    </row>
    <row r="965">
      <c r="A965" s="480"/>
      <c r="B965" s="480"/>
      <c r="C965" s="480"/>
    </row>
    <row r="966">
      <c r="A966" s="480"/>
      <c r="B966" s="480"/>
      <c r="C966" s="480"/>
    </row>
    <row r="967">
      <c r="A967" s="480"/>
      <c r="B967" s="480"/>
      <c r="C967" s="480"/>
    </row>
    <row r="968">
      <c r="A968" s="480"/>
      <c r="B968" s="480"/>
      <c r="C968" s="480"/>
    </row>
    <row r="969">
      <c r="A969" s="480"/>
      <c r="B969" s="480"/>
      <c r="C969" s="480"/>
    </row>
    <row r="970">
      <c r="A970" s="480"/>
      <c r="B970" s="480"/>
      <c r="C970" s="480"/>
    </row>
    <row r="971">
      <c r="A971" s="480"/>
      <c r="B971" s="480"/>
      <c r="C971" s="480"/>
    </row>
    <row r="972">
      <c r="A972" s="480"/>
      <c r="B972" s="480"/>
      <c r="C972" s="480"/>
    </row>
    <row r="973">
      <c r="A973" s="480"/>
      <c r="B973" s="480"/>
      <c r="C973" s="480"/>
    </row>
    <row r="974">
      <c r="A974" s="480"/>
      <c r="B974" s="480"/>
      <c r="C974" s="480"/>
    </row>
    <row r="975">
      <c r="A975" s="480"/>
      <c r="B975" s="480"/>
      <c r="C975" s="480"/>
    </row>
    <row r="976">
      <c r="A976" s="480"/>
      <c r="B976" s="480"/>
      <c r="C976" s="480"/>
    </row>
    <row r="977">
      <c r="A977" s="480"/>
      <c r="B977" s="480"/>
      <c r="C977" s="480"/>
    </row>
    <row r="978">
      <c r="A978" s="480"/>
      <c r="B978" s="480"/>
      <c r="C978" s="480"/>
    </row>
    <row r="979">
      <c r="A979" s="480"/>
      <c r="B979" s="480"/>
      <c r="C979" s="480"/>
    </row>
    <row r="980">
      <c r="A980" s="480"/>
      <c r="B980" s="480"/>
      <c r="C980" s="480"/>
    </row>
    <row r="981">
      <c r="A981" s="480"/>
      <c r="B981" s="480"/>
      <c r="C981" s="480"/>
    </row>
    <row r="982">
      <c r="A982" s="480"/>
      <c r="B982" s="480"/>
      <c r="C982" s="480"/>
    </row>
    <row r="983">
      <c r="A983" s="480"/>
      <c r="B983" s="480"/>
      <c r="C983" s="480"/>
    </row>
    <row r="984">
      <c r="A984" s="480"/>
      <c r="B984" s="480"/>
      <c r="C984" s="480"/>
    </row>
    <row r="985">
      <c r="A985" s="480"/>
      <c r="B985" s="480"/>
      <c r="C985" s="480"/>
    </row>
    <row r="986">
      <c r="A986" s="480"/>
      <c r="B986" s="480"/>
      <c r="C986" s="480"/>
    </row>
    <row r="987">
      <c r="A987" s="480"/>
      <c r="B987" s="480"/>
      <c r="C987" s="480"/>
    </row>
    <row r="988">
      <c r="A988" s="480"/>
      <c r="B988" s="480"/>
      <c r="C988" s="480"/>
    </row>
    <row r="989">
      <c r="A989" s="480"/>
      <c r="B989" s="480"/>
      <c r="C989" s="480"/>
    </row>
    <row r="990">
      <c r="A990" s="480"/>
      <c r="B990" s="480"/>
      <c r="C990" s="480"/>
    </row>
    <row r="991">
      <c r="A991" s="480"/>
      <c r="B991" s="480"/>
      <c r="C991" s="480"/>
    </row>
    <row r="992">
      <c r="A992" s="480"/>
      <c r="B992" s="480"/>
      <c r="C992" s="480"/>
    </row>
    <row r="993">
      <c r="A993" s="480"/>
      <c r="B993" s="480"/>
      <c r="C993" s="480"/>
    </row>
    <row r="994">
      <c r="A994" s="480"/>
      <c r="B994" s="480"/>
      <c r="C994" s="480"/>
    </row>
    <row r="995">
      <c r="A995" s="480"/>
      <c r="B995" s="480"/>
      <c r="C995" s="480"/>
    </row>
    <row r="996">
      <c r="A996" s="480"/>
      <c r="B996" s="480"/>
      <c r="C996" s="480"/>
    </row>
    <row r="997">
      <c r="A997" s="480"/>
      <c r="B997" s="480"/>
      <c r="C997" s="480"/>
    </row>
    <row r="998">
      <c r="A998" s="480"/>
      <c r="B998" s="480"/>
      <c r="C998" s="480"/>
    </row>
    <row r="999">
      <c r="A999" s="480"/>
      <c r="B999" s="480"/>
      <c r="C999" s="480"/>
    </row>
    <row r="1000">
      <c r="A1000" s="480"/>
      <c r="B1000" s="480"/>
      <c r="C1000" s="480"/>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1.22" defaultRowHeight="15.0" outlineLevelCol="1"/>
  <cols>
    <col customWidth="1" min="1" max="1" width="37.33"/>
    <col customWidth="1" min="2" max="2" width="11.44" outlineLevel="1"/>
    <col customWidth="1" min="3" max="10" width="10.44" outlineLevel="1"/>
    <col customWidth="1" min="11" max="11" width="25.33"/>
    <col customWidth="1" min="12" max="19" width="10.44" outlineLevel="1"/>
    <col customWidth="1" min="20" max="20" width="1.11" outlineLevel="1"/>
    <col customWidth="1" min="21" max="26" width="10.44"/>
    <col customWidth="1" min="27" max="32" width="11.0"/>
    <col customWidth="1" min="33" max="33" width="20.44"/>
    <col customWidth="1" min="34" max="34" width="14.0"/>
    <col customWidth="1" min="35" max="35" width="16.0"/>
    <col customWidth="1" min="36" max="36" width="18.0"/>
    <col customWidth="1" min="37" max="37" width="10.44"/>
    <col customWidth="1" min="38" max="38" width="16.78"/>
    <col customWidth="1" min="39" max="41" width="10.44"/>
  </cols>
  <sheetData>
    <row r="1">
      <c r="A1" s="18"/>
      <c r="B1" s="19"/>
      <c r="C1" s="20"/>
      <c r="D1" s="20"/>
      <c r="E1" s="20"/>
      <c r="F1" s="20"/>
      <c r="G1" s="20"/>
      <c r="H1" s="20"/>
      <c r="I1" s="20"/>
      <c r="J1" s="21"/>
      <c r="K1" s="22"/>
      <c r="L1" s="19"/>
      <c r="M1" s="20"/>
      <c r="N1" s="20"/>
      <c r="O1" s="20"/>
      <c r="P1" s="20"/>
      <c r="Q1" s="20"/>
      <c r="R1" s="20"/>
      <c r="S1" s="20"/>
      <c r="T1" s="21"/>
      <c r="U1" s="23"/>
      <c r="V1" s="24"/>
      <c r="W1" s="25"/>
      <c r="X1" s="26"/>
      <c r="Y1" s="27"/>
      <c r="Z1" s="28"/>
      <c r="AA1" s="19"/>
      <c r="AB1" s="20"/>
      <c r="AC1" s="21"/>
      <c r="AD1" s="20"/>
      <c r="AE1" s="20"/>
      <c r="AF1" s="21"/>
      <c r="AG1" s="21"/>
      <c r="AH1" s="29"/>
      <c r="AI1" s="29"/>
      <c r="AJ1" s="29"/>
      <c r="AK1" s="30"/>
      <c r="AL1" s="30"/>
      <c r="AM1" s="30"/>
      <c r="AN1" s="30"/>
      <c r="AO1" s="30"/>
    </row>
    <row r="2" ht="47.25" customHeight="1">
      <c r="A2" s="31" t="s">
        <v>9</v>
      </c>
      <c r="B2" s="32" t="s">
        <v>10</v>
      </c>
      <c r="C2" s="14"/>
      <c r="D2" s="14"/>
      <c r="E2" s="14"/>
      <c r="F2" s="14"/>
      <c r="G2" s="14"/>
      <c r="H2" s="14"/>
      <c r="I2" s="14"/>
      <c r="J2" s="33"/>
      <c r="K2" s="34" t="s">
        <v>11</v>
      </c>
      <c r="L2" s="35" t="s">
        <v>12</v>
      </c>
      <c r="M2" s="14"/>
      <c r="N2" s="14"/>
      <c r="O2" s="14"/>
      <c r="P2" s="14"/>
      <c r="Q2" s="14"/>
      <c r="R2" s="14"/>
      <c r="S2" s="14"/>
      <c r="T2" s="33"/>
      <c r="U2" s="36" t="s">
        <v>13</v>
      </c>
      <c r="V2" s="14"/>
      <c r="W2" s="33"/>
      <c r="X2" s="32" t="s">
        <v>14</v>
      </c>
      <c r="Y2" s="14"/>
      <c r="Z2" s="33"/>
      <c r="AA2" s="37" t="s">
        <v>15</v>
      </c>
      <c r="AB2" s="14"/>
      <c r="AC2" s="33"/>
      <c r="AD2" s="35" t="s">
        <v>16</v>
      </c>
      <c r="AE2" s="14"/>
      <c r="AF2" s="33"/>
      <c r="AG2" s="38" t="s">
        <v>17</v>
      </c>
      <c r="AH2" s="39" t="s">
        <v>18</v>
      </c>
      <c r="AI2" s="39" t="s">
        <v>19</v>
      </c>
      <c r="AJ2" s="39" t="s">
        <v>20</v>
      </c>
    </row>
    <row r="3">
      <c r="A3" s="31"/>
      <c r="B3" s="40" t="s">
        <v>21</v>
      </c>
      <c r="C3" s="41"/>
      <c r="D3" s="42"/>
      <c r="E3" s="40" t="s">
        <v>22</v>
      </c>
      <c r="F3" s="41"/>
      <c r="G3" s="42"/>
      <c r="H3" s="43" t="s">
        <v>23</v>
      </c>
      <c r="I3" s="44"/>
      <c r="J3" s="45"/>
      <c r="K3" s="46"/>
      <c r="L3" s="40" t="s">
        <v>21</v>
      </c>
      <c r="M3" s="41"/>
      <c r="N3" s="42"/>
      <c r="O3" s="40" t="s">
        <v>22</v>
      </c>
      <c r="P3" s="41"/>
      <c r="Q3" s="42"/>
      <c r="R3" s="43" t="s">
        <v>23</v>
      </c>
      <c r="S3" s="44"/>
      <c r="T3" s="45"/>
      <c r="U3" s="47"/>
      <c r="V3" s="48"/>
      <c r="W3" s="49"/>
      <c r="X3" s="50"/>
      <c r="Y3" s="51"/>
      <c r="Z3" s="52"/>
      <c r="AA3" s="53"/>
      <c r="AB3" s="54"/>
      <c r="AC3" s="55"/>
      <c r="AD3" s="53"/>
      <c r="AE3" s="54"/>
      <c r="AF3" s="55"/>
      <c r="AG3" s="55"/>
      <c r="AH3" s="56"/>
      <c r="AI3" s="56"/>
      <c r="AJ3" s="56"/>
    </row>
    <row r="4">
      <c r="A4" s="57"/>
      <c r="B4" s="58" t="s">
        <v>24</v>
      </c>
      <c r="C4" s="54" t="s">
        <v>25</v>
      </c>
      <c r="D4" s="55" t="s">
        <v>26</v>
      </c>
      <c r="E4" s="58" t="s">
        <v>24</v>
      </c>
      <c r="F4" s="54" t="s">
        <v>25</v>
      </c>
      <c r="G4" s="55" t="s">
        <v>26</v>
      </c>
      <c r="H4" s="58" t="s">
        <v>24</v>
      </c>
      <c r="I4" s="54" t="s">
        <v>25</v>
      </c>
      <c r="J4" s="55" t="s">
        <v>26</v>
      </c>
      <c r="K4" s="59"/>
      <c r="L4" s="58" t="s">
        <v>24</v>
      </c>
      <c r="M4" s="54" t="s">
        <v>25</v>
      </c>
      <c r="N4" s="55" t="s">
        <v>26</v>
      </c>
      <c r="O4" s="58" t="s">
        <v>24</v>
      </c>
      <c r="P4" s="54" t="s">
        <v>25</v>
      </c>
      <c r="Q4" s="55" t="s">
        <v>26</v>
      </c>
      <c r="R4" s="58" t="s">
        <v>24</v>
      </c>
      <c r="S4" s="54" t="s">
        <v>25</v>
      </c>
      <c r="T4" s="55" t="s">
        <v>26</v>
      </c>
      <c r="U4" s="60" t="s">
        <v>24</v>
      </c>
      <c r="V4" s="61" t="s">
        <v>25</v>
      </c>
      <c r="W4" s="62" t="s">
        <v>26</v>
      </c>
      <c r="X4" s="63" t="s">
        <v>24</v>
      </c>
      <c r="Y4" s="64" t="s">
        <v>25</v>
      </c>
      <c r="Z4" s="65" t="s">
        <v>26</v>
      </c>
      <c r="AA4" s="66" t="s">
        <v>24</v>
      </c>
      <c r="AB4" s="54" t="s">
        <v>25</v>
      </c>
      <c r="AC4" s="55" t="s">
        <v>26</v>
      </c>
      <c r="AD4" s="66" t="s">
        <v>24</v>
      </c>
      <c r="AE4" s="54" t="s">
        <v>25</v>
      </c>
      <c r="AF4" s="55" t="s">
        <v>26</v>
      </c>
      <c r="AG4" s="55"/>
      <c r="AH4" s="67"/>
      <c r="AI4" s="67"/>
      <c r="AJ4" s="67"/>
    </row>
    <row r="5">
      <c r="A5" s="68" t="str">
        <f>'Reducing radiator temp'!A111</f>
        <v>Reducing radiator temperatures (set and forget)</v>
      </c>
      <c r="B5" s="69"/>
      <c r="C5" s="70"/>
      <c r="D5" s="71"/>
      <c r="E5" s="69"/>
      <c r="F5" s="70"/>
      <c r="G5" s="71"/>
      <c r="H5" s="69"/>
      <c r="I5" s="70"/>
      <c r="J5" s="71"/>
      <c r="K5" s="72"/>
      <c r="L5" s="69"/>
      <c r="M5" s="70"/>
      <c r="N5" s="71"/>
      <c r="O5" s="69"/>
      <c r="P5" s="70"/>
      <c r="Q5" s="71"/>
      <c r="R5" s="69"/>
      <c r="S5" s="70"/>
      <c r="T5" s="71"/>
      <c r="U5" s="73"/>
      <c r="V5" s="74"/>
      <c r="W5" s="75"/>
      <c r="X5" s="76"/>
      <c r="Y5" s="77"/>
      <c r="Z5" s="78"/>
      <c r="AA5" s="79"/>
      <c r="AB5" s="80"/>
      <c r="AC5" s="81"/>
      <c r="AD5" s="82"/>
      <c r="AE5" s="83"/>
      <c r="AF5" s="81"/>
      <c r="AG5" s="81"/>
      <c r="AH5" s="84"/>
      <c r="AI5" s="84"/>
      <c r="AJ5" s="84"/>
    </row>
    <row r="6">
      <c r="A6" s="18" t="str">
        <f>'Reducing radiator temp'!A112</f>
        <v>… to Flow 60°C (same indoor temp)</v>
      </c>
      <c r="B6" s="85">
        <f>ROUND('Reducing radiator temp'!B112,-1)</f>
        <v>290</v>
      </c>
      <c r="C6" s="86">
        <f>ROUND('Reducing radiator temp'!C112,-1)</f>
        <v>420</v>
      </c>
      <c r="D6" s="87">
        <f>ROUND('Reducing radiator temp'!D112,-1)</f>
        <v>540</v>
      </c>
      <c r="E6" s="85">
        <f>ROUND('Reducing radiator temp'!E112,-1)</f>
        <v>0</v>
      </c>
      <c r="F6" s="86">
        <f>ROUND('Reducing radiator temp'!F112,-1)</f>
        <v>0</v>
      </c>
      <c r="G6" s="87">
        <f>ROUND('Reducing radiator temp'!G112,-1)</f>
        <v>0</v>
      </c>
      <c r="H6" s="85">
        <f>ROUND('Reducing radiator temp'!H112,-1)</f>
        <v>0</v>
      </c>
      <c r="I6" s="86">
        <f>ROUND('Reducing radiator temp'!I112,-1)</f>
        <v>0</v>
      </c>
      <c r="J6" s="87">
        <f>ROUND('Reducing radiator temp'!J112,-1)</f>
        <v>0</v>
      </c>
      <c r="K6" s="88">
        <f>C6/MeanDomesticGasBill</f>
        <v>0.03579434597</v>
      </c>
      <c r="L6" s="89">
        <f>'Reducing radiator temp'!K112/1000</f>
        <v>5.790399081</v>
      </c>
      <c r="M6" s="90">
        <f>'Reducing radiator temp'!L112/1000</f>
        <v>8.060861334</v>
      </c>
      <c r="N6" s="91">
        <f>'Reducing radiator temp'!M112/1000</f>
        <v>10.76961499</v>
      </c>
      <c r="O6" s="92">
        <f>'Reducing radiator temp'!N112/1000</f>
        <v>0</v>
      </c>
      <c r="P6" s="90">
        <f>'Reducing radiator temp'!O112/1000</f>
        <v>0</v>
      </c>
      <c r="Q6" s="91">
        <f>'Reducing radiator temp'!P112/1000</f>
        <v>0</v>
      </c>
      <c r="R6" s="92">
        <f>'Reducing radiator temp'!Q112/1000</f>
        <v>0</v>
      </c>
      <c r="S6" s="90">
        <f>'Reducing radiator temp'!R112/1000</f>
        <v>0</v>
      </c>
      <c r="T6" s="91">
        <f>'Reducing radiator temp'!S112/1000</f>
        <v>0</v>
      </c>
      <c r="U6" s="93">
        <f>(L6+O6+R6)/numberDwellingsUK*1000000</f>
        <v>0.2056701111</v>
      </c>
      <c r="V6" s="94">
        <f>(M6+P6+S6)/numberDwellingsUK*1000000</f>
        <v>0.286315023</v>
      </c>
      <c r="W6" s="95">
        <f>(N6+Q6+T6)/numberDwellingsUK*1000000</f>
        <v>0.3825276774</v>
      </c>
      <c r="X6" s="96">
        <f>(B6*gasPriceP*L6+E6*oilPriceP*O6+H6*electricityPriceDualRateP*R6)/100/SUM(L6,O6,R6)</f>
        <v>20.03706667</v>
      </c>
      <c r="Y6" s="97">
        <f>(C6*gasPriceP*M6+F6*oilPriceP*P6+I6*electricityPriceDualRateP*S6)/100/SUM(M6,P6,S6)</f>
        <v>29.0192</v>
      </c>
      <c r="Z6" s="98">
        <f>(D6*gasPriceP*N6+G6*oilPriceP*Q6+J6*electricityPriceDualRateP*T6)/100/SUM(N6,Q6,T6)</f>
        <v>37.3104</v>
      </c>
      <c r="AA6" s="99">
        <f>(B6*L6*carbonGasPerkWh+E6*O6*carbonOilPerkWh + H6*R6*carbonElectricityPerkWh)</f>
        <v>308.975695</v>
      </c>
      <c r="AB6" s="100">
        <f>(C6*M6*carbonGasPerkWh+F6*P6*carbonOilPerkWh + I6*S6*carbonElectricityPerkWh)</f>
        <v>622.9433639</v>
      </c>
      <c r="AC6" s="101">
        <f>(D6*N6*carbonGasPerkWh+G6*Q6*carbonOilPerkWh + J6*T6*carbonElectricityPerkWh)</f>
        <v>1070.068946</v>
      </c>
      <c r="AD6" s="102">
        <f>U6*numberDwellingsUK*B6/1000000000</f>
        <v>1.679215734</v>
      </c>
      <c r="AE6" s="102">
        <f>V6*numberDwellingsUK*C6/1000000000</f>
        <v>3.38556176</v>
      </c>
      <c r="AF6" s="102">
        <f>W6*numberDwellingsUK*D6/1000000000</f>
        <v>5.815592096</v>
      </c>
      <c r="AG6" s="96">
        <f>ROUND(V6*numberDwellingsUK*Y6,-3)</f>
        <v>233920000</v>
      </c>
      <c r="AH6" s="103" t="str">
        <f>'Reducing radiator temp'!T112</f>
        <v>-</v>
      </c>
      <c r="AI6" s="103" t="s">
        <v>27</v>
      </c>
      <c r="AJ6" s="103" t="s">
        <v>28</v>
      </c>
      <c r="AL6" s="104"/>
      <c r="AM6" s="105"/>
      <c r="AN6" s="105"/>
      <c r="AO6" s="106"/>
    </row>
    <row r="7">
      <c r="A7" s="18" t="str">
        <f>'Reducing radiator temp'!A113</f>
        <v>… to Flow 55°C (same indoor temp)</v>
      </c>
      <c r="B7" s="85">
        <f>ROUND('Reducing radiator temp'!B113,-1)</f>
        <v>400</v>
      </c>
      <c r="C7" s="86">
        <f>ROUND('Reducing radiator temp'!C113,-1)</f>
        <v>530</v>
      </c>
      <c r="D7" s="87">
        <f>ROUND('Reducing radiator temp'!D113,-1)</f>
        <v>670</v>
      </c>
      <c r="E7" s="85">
        <f>ROUND('Reducing radiator temp'!E113,-1)</f>
        <v>0</v>
      </c>
      <c r="F7" s="86">
        <f>ROUND('Reducing radiator temp'!F113,-1)</f>
        <v>0</v>
      </c>
      <c r="G7" s="87">
        <f>ROUND('Reducing radiator temp'!G113,-1)</f>
        <v>0</v>
      </c>
      <c r="H7" s="85">
        <f>ROUND('Reducing radiator temp'!H113,-1)</f>
        <v>0</v>
      </c>
      <c r="I7" s="86">
        <f>ROUND('Reducing radiator temp'!I113,-1)</f>
        <v>0</v>
      </c>
      <c r="J7" s="87">
        <f>ROUND('Reducing radiator temp'!J113,-1)</f>
        <v>0</v>
      </c>
      <c r="K7" s="88">
        <f>C7/MeanDomesticGasBill</f>
        <v>0.04516905563</v>
      </c>
      <c r="L7" s="92">
        <f>'Reducing radiator temp'!K113/1000</f>
        <v>4.079740325</v>
      </c>
      <c r="M7" s="90">
        <f>'Reducing radiator temp'!L113/1000</f>
        <v>5.754886143</v>
      </c>
      <c r="N7" s="91">
        <f>'Reducing radiator temp'!M113/1000</f>
        <v>7.784618557</v>
      </c>
      <c r="O7" s="92">
        <f>'Reducing radiator temp'!N113/1000</f>
        <v>0</v>
      </c>
      <c r="P7" s="90">
        <f>'Reducing radiator temp'!O113/1000</f>
        <v>0</v>
      </c>
      <c r="Q7" s="91">
        <f>'Reducing radiator temp'!P113/1000</f>
        <v>0</v>
      </c>
      <c r="R7" s="92">
        <f>'Reducing radiator temp'!Q113/1000</f>
        <v>0</v>
      </c>
      <c r="S7" s="90">
        <f>'Reducing radiator temp'!R113/1000</f>
        <v>0</v>
      </c>
      <c r="T7" s="91">
        <f>'Reducing radiator temp'!S113/1000</f>
        <v>0</v>
      </c>
      <c r="U7" s="93">
        <f>(L7+O7+R7)/numberDwellingsUK*1000000</f>
        <v>0.1449089491</v>
      </c>
      <c r="V7" s="94">
        <f>(M7+P7+S7)/numberDwellingsUK*1000000</f>
        <v>0.2044087214</v>
      </c>
      <c r="W7" s="95">
        <f>(N7+Q7+T7)/numberDwellingsUK*1000000</f>
        <v>0.2765031116</v>
      </c>
      <c r="X7" s="96">
        <f>(B7*gasPriceP*L7+E7*oilPriceP*O7+H7*electricityPriceDualRateP*R7)/100/SUM(L7,O7,R7)</f>
        <v>27.63733333</v>
      </c>
      <c r="Y7" s="97">
        <f>(C7*gasPriceP*M7+F7*oilPriceP*P7+I7*electricityPriceDualRateP*S7)/100/SUM(M7,P7,S7)</f>
        <v>36.61946667</v>
      </c>
      <c r="Z7" s="98">
        <f>(D7*gasPriceP*N7+G7*oilPriceP*Q7+J7*electricityPriceDualRateP*T7)/100/SUM(N7,Q7,T7)</f>
        <v>46.29253333</v>
      </c>
      <c r="AA7" s="99">
        <f>(B7*L7*carbonGasPerkWh+E7*O7*carbonOilPerkWh + H7*R7*carbonElectricityPerkWh)</f>
        <v>300.2688879</v>
      </c>
      <c r="AB7" s="100">
        <f>(C7*M7*carbonGasPerkWh+F7*P7*carbonOilPerkWh + I7*S7*carbonElectricityPerkWh)</f>
        <v>561.2164967</v>
      </c>
      <c r="AC7" s="101">
        <f>(D7*N7*carbonGasPerkWh+G7*Q7*carbonOilPerkWh + J7*T7*carbonElectricityPerkWh)</f>
        <v>959.6877757</v>
      </c>
      <c r="AD7" s="102">
        <f>U7*numberDwellingsUK*B7/1000000000</f>
        <v>1.63189613</v>
      </c>
      <c r="AE7" s="102">
        <f>V7*numberDwellingsUK*C7/1000000000</f>
        <v>3.050089656</v>
      </c>
      <c r="AF7" s="102">
        <f>W7*numberDwellingsUK*D7/1000000000</f>
        <v>5.215694433</v>
      </c>
      <c r="AG7" s="96">
        <f>ROUND(V7*numberDwellingsUK*Y7,-3)</f>
        <v>210741000</v>
      </c>
      <c r="AH7" s="103" t="str">
        <f>'Reducing radiator temp'!T113</f>
        <v>-</v>
      </c>
      <c r="AI7" s="103" t="s">
        <v>27</v>
      </c>
      <c r="AJ7" s="103" t="s">
        <v>28</v>
      </c>
      <c r="AL7" s="104"/>
      <c r="AM7" s="105"/>
      <c r="AN7" s="105"/>
      <c r="AO7" s="106"/>
    </row>
    <row r="8">
      <c r="A8" s="18" t="str">
        <f>'Reducing radiator temp'!A114</f>
        <v>… to Flow 60°C (lower indoor temp)</v>
      </c>
      <c r="B8" s="85">
        <f>ROUND('Reducing radiator temp'!B114,-1)</f>
        <v>610</v>
      </c>
      <c r="C8" s="86">
        <f>ROUND('Reducing radiator temp'!C114,-1)</f>
        <v>940</v>
      </c>
      <c r="D8" s="87">
        <f>ROUND('Reducing radiator temp'!D114,-1)</f>
        <v>1030</v>
      </c>
      <c r="E8" s="85">
        <f>ROUND('Reducing radiator temp'!E114,-1)</f>
        <v>0</v>
      </c>
      <c r="F8" s="86">
        <f>ROUND('Reducing radiator temp'!F114,-1)</f>
        <v>0</v>
      </c>
      <c r="G8" s="87">
        <f>ROUND('Reducing radiator temp'!G114,-1)</f>
        <v>0</v>
      </c>
      <c r="H8" s="85">
        <f>ROUND('Reducing radiator temp'!H114,-1)</f>
        <v>0</v>
      </c>
      <c r="I8" s="86">
        <f>ROUND('Reducing radiator temp'!I114,-1)</f>
        <v>0</v>
      </c>
      <c r="J8" s="87">
        <f>ROUND('Reducing radiator temp'!J114,-1)</f>
        <v>0</v>
      </c>
      <c r="K8" s="107">
        <f>C8/MeanDomesticGasBill</f>
        <v>0.08011115527</v>
      </c>
      <c r="L8" s="92">
        <f>'Reducing radiator temp'!K114/1000</f>
        <v>5.790399081</v>
      </c>
      <c r="M8" s="90">
        <f>'Reducing radiator temp'!L114/1000</f>
        <v>8.060861334</v>
      </c>
      <c r="N8" s="91">
        <f>'Reducing radiator temp'!M114/1000</f>
        <v>10.76961499</v>
      </c>
      <c r="O8" s="92">
        <f>'Reducing radiator temp'!N114/1000</f>
        <v>0</v>
      </c>
      <c r="P8" s="90">
        <f>'Reducing radiator temp'!O114/1000</f>
        <v>0</v>
      </c>
      <c r="Q8" s="91">
        <f>'Reducing radiator temp'!P114/1000</f>
        <v>0</v>
      </c>
      <c r="R8" s="92">
        <f>'Reducing radiator temp'!Q114/1000</f>
        <v>0</v>
      </c>
      <c r="S8" s="90">
        <f>'Reducing radiator temp'!R114/1000</f>
        <v>0</v>
      </c>
      <c r="T8" s="91">
        <f>'Reducing radiator temp'!S114/1000</f>
        <v>0</v>
      </c>
      <c r="U8" s="93">
        <f>(L8+O8+R8)/numberDwellingsUK*1000000</f>
        <v>0.2056701111</v>
      </c>
      <c r="V8" s="94">
        <f>(M8+P8+S8)/numberDwellingsUK*1000000</f>
        <v>0.286315023</v>
      </c>
      <c r="W8" s="95">
        <f>(N8+Q8+T8)/numberDwellingsUK*1000000</f>
        <v>0.3825276774</v>
      </c>
      <c r="X8" s="96">
        <f>(B8*gasPriceP*L8+E8*oilPriceP*O8+H8*electricityPriceDualRateP*R8)/100/SUM(L8,O8,R8)</f>
        <v>42.14693333</v>
      </c>
      <c r="Y8" s="97">
        <f>(C8*gasPriceP*M8+F8*oilPriceP*P8+I8*electricityPriceDualRateP*S8)/100/SUM(M8,P8,S8)</f>
        <v>64.94773333</v>
      </c>
      <c r="Z8" s="98">
        <f>(D8*gasPriceP*N8+G8*oilPriceP*Q8+J8*electricityPriceDualRateP*T8)/100/SUM(N8,Q8,T8)</f>
        <v>71.16613333</v>
      </c>
      <c r="AA8" s="99">
        <f>(B8*L8*carbonGasPerkWh+E8*O8*carbonOilPerkWh + H8*R8*carbonElectricityPerkWh)</f>
        <v>649.9143929</v>
      </c>
      <c r="AB8" s="100">
        <f>(C8*M8*carbonGasPerkWh+F8*P8*carbonOilPerkWh + I8*S8*carbonElectricityPerkWh)</f>
        <v>1394.206576</v>
      </c>
      <c r="AC8" s="101">
        <f>(D8*N8*carbonGasPerkWh+G8*Q8*carbonOilPerkWh + J8*T8*carbonElectricityPerkWh)</f>
        <v>2041.057433</v>
      </c>
      <c r="AD8" s="102">
        <f>U8*numberDwellingsUK*B8/1000000000</f>
        <v>3.53214344</v>
      </c>
      <c r="AE8" s="102">
        <f>V8*numberDwellingsUK*C8/1000000000</f>
        <v>7.577209654</v>
      </c>
      <c r="AF8" s="102">
        <f>W8*numberDwellingsUK*D8/1000000000</f>
        <v>11.09270344</v>
      </c>
      <c r="AG8" s="96">
        <f>ROUND(V8*numberDwellingsUK*Y8,-3)</f>
        <v>523535000</v>
      </c>
      <c r="AH8" s="103" t="str">
        <f>'Reducing radiator temp'!T114</f>
        <v>comfort reduction</v>
      </c>
      <c r="AI8" s="103" t="s">
        <v>29</v>
      </c>
      <c r="AJ8" s="103" t="s">
        <v>28</v>
      </c>
      <c r="AL8" s="104"/>
      <c r="AM8" s="105"/>
      <c r="AN8" s="105"/>
      <c r="AO8" s="106"/>
    </row>
    <row r="9">
      <c r="A9" s="18" t="str">
        <f>'Reducing radiator temp'!A115</f>
        <v>… to Flow 55°C (lower indoor temp)</v>
      </c>
      <c r="B9" s="85">
        <f>ROUND('Reducing radiator temp'!B115,-1)</f>
        <v>860</v>
      </c>
      <c r="C9" s="86">
        <f>ROUND('Reducing radiator temp'!C115,-1)</f>
        <v>1330</v>
      </c>
      <c r="D9" s="87">
        <f>ROUND('Reducing radiator temp'!D115,-1)</f>
        <v>1460</v>
      </c>
      <c r="E9" s="85">
        <f>ROUND('Reducing radiator temp'!E115,-1)</f>
        <v>0</v>
      </c>
      <c r="F9" s="86">
        <f>ROUND('Reducing radiator temp'!F115,-1)</f>
        <v>0</v>
      </c>
      <c r="G9" s="87">
        <f>ROUND('Reducing radiator temp'!G115,-1)</f>
        <v>0</v>
      </c>
      <c r="H9" s="85">
        <f>ROUND('Reducing radiator temp'!H115,-1)</f>
        <v>0</v>
      </c>
      <c r="I9" s="86">
        <f>ROUND('Reducing radiator temp'!I115,-1)</f>
        <v>0</v>
      </c>
      <c r="J9" s="87">
        <f>ROUND('Reducing radiator temp'!J115,-1)</f>
        <v>0</v>
      </c>
      <c r="K9" s="107">
        <f>C9/MeanDomesticGasBill</f>
        <v>0.1133487622</v>
      </c>
      <c r="L9" s="92">
        <f>'Reducing radiator temp'!K115/1000</f>
        <v>4.079740325</v>
      </c>
      <c r="M9" s="90">
        <f>'Reducing radiator temp'!L115/1000</f>
        <v>5.754886143</v>
      </c>
      <c r="N9" s="91">
        <f>'Reducing radiator temp'!M115/1000</f>
        <v>7.784618557</v>
      </c>
      <c r="O9" s="92">
        <f>'Reducing radiator temp'!N115/1000</f>
        <v>0</v>
      </c>
      <c r="P9" s="90">
        <f>'Reducing radiator temp'!O115/1000</f>
        <v>0</v>
      </c>
      <c r="Q9" s="91">
        <f>'Reducing radiator temp'!P115/1000</f>
        <v>0</v>
      </c>
      <c r="R9" s="92">
        <f>'Reducing radiator temp'!Q115/1000</f>
        <v>0</v>
      </c>
      <c r="S9" s="90">
        <f>'Reducing radiator temp'!R115/1000</f>
        <v>0</v>
      </c>
      <c r="T9" s="91">
        <f>'Reducing radiator temp'!S115/1000</f>
        <v>0</v>
      </c>
      <c r="U9" s="93">
        <f>(L9+O9+R9)/numberDwellingsUK*1000000</f>
        <v>0.1449089491</v>
      </c>
      <c r="V9" s="94">
        <f>(M9+P9+S9)/numberDwellingsUK*1000000</f>
        <v>0.2044087214</v>
      </c>
      <c r="W9" s="95">
        <f>(N9+Q9+T9)/numberDwellingsUK*1000000</f>
        <v>0.2765031116</v>
      </c>
      <c r="X9" s="96">
        <f>(B9*gasPriceP*L9+E9*oilPriceP*O9+H9*electricityPriceDualRateP*R9)/100/SUM(L9,O9,R9)</f>
        <v>59.42026667</v>
      </c>
      <c r="Y9" s="97">
        <f>(C9*gasPriceP*M9+F9*oilPriceP*P9+I9*electricityPriceDualRateP*S9)/100/SUM(M9,P9,S9)</f>
        <v>91.89413333</v>
      </c>
      <c r="Z9" s="98">
        <f>(D9*gasPriceP*N9+G9*oilPriceP*Q9+J9*electricityPriceDualRateP*T9)/100/SUM(N9,Q9,T9)</f>
        <v>100.8762667</v>
      </c>
      <c r="AA9" s="99">
        <f>(B9*L9*carbonGasPerkWh+E9*O9*carbonOilPerkWh + H9*R9*carbonElectricityPerkWh)</f>
        <v>645.5781091</v>
      </c>
      <c r="AB9" s="100">
        <f>(C9*M9*carbonGasPerkWh+F9*P9*carbonOilPerkWh + I9*S9*carbonElectricityPerkWh)</f>
        <v>1408.335737</v>
      </c>
      <c r="AC9" s="101">
        <f>(D9*N9*carbonGasPerkWh+G9*Q9*carbonOilPerkWh + J9*T9*carbonElectricityPerkWh)</f>
        <v>2091.259929</v>
      </c>
      <c r="AD9" s="102">
        <f>U9*numberDwellingsUK*B9/1000000000</f>
        <v>3.50857668</v>
      </c>
      <c r="AE9" s="102">
        <f>V9*numberDwellingsUK*C9/1000000000</f>
        <v>7.65399857</v>
      </c>
      <c r="AF9" s="102">
        <f>W9*numberDwellingsUK*D9/1000000000</f>
        <v>11.36554309</v>
      </c>
      <c r="AG9" s="96">
        <f>ROUND(V9*numberDwellingsUK*Y9,-3)</f>
        <v>528840000</v>
      </c>
      <c r="AH9" s="103" t="str">
        <f>'Reducing radiator temp'!T115</f>
        <v>comfort reduction</v>
      </c>
      <c r="AI9" s="103" t="s">
        <v>29</v>
      </c>
      <c r="AJ9" s="103" t="s">
        <v>28</v>
      </c>
      <c r="AL9" s="108"/>
      <c r="AM9" s="105"/>
      <c r="AN9" s="105"/>
      <c r="AO9" s="106"/>
    </row>
    <row r="10">
      <c r="A10" s="109" t="str">
        <f>'Reduce heating hours'!A65</f>
        <v>Reducing hours of heating by 5 hours/week (set and forget)</v>
      </c>
      <c r="B10" s="110">
        <f>ROUND('Reduce heating hours'!B65,-1)</f>
        <v>110</v>
      </c>
      <c r="C10" s="111">
        <f>ROUND('Reduce heating hours'!C65,-1)</f>
        <v>150</v>
      </c>
      <c r="D10" s="112">
        <f>ROUND('Reduce heating hours'!D65,-1)</f>
        <v>190</v>
      </c>
      <c r="E10" s="110">
        <f>ROUND('Reduce heating hours'!E65,-1)</f>
        <v>260</v>
      </c>
      <c r="F10" s="111">
        <f>ROUND('Reduce heating hours'!F65,-1)</f>
        <v>330</v>
      </c>
      <c r="G10" s="112">
        <f>ROUND('Reduce heating hours'!G65,-1)</f>
        <v>430</v>
      </c>
      <c r="H10" s="110">
        <f>ROUND('Reduce heating hours'!H65,-1)</f>
        <v>20</v>
      </c>
      <c r="I10" s="111">
        <f>ROUND('Reduce heating hours'!I65,-1)</f>
        <v>50</v>
      </c>
      <c r="J10" s="112">
        <f>ROUND('Reduce heating hours'!J65,-1)</f>
        <v>70</v>
      </c>
      <c r="K10" s="88">
        <f>C10/MeanDomesticGasBill</f>
        <v>0.01278369499</v>
      </c>
      <c r="L10" s="92">
        <f>'Reduce heating hours'!K65/1000</f>
        <v>2.352524158</v>
      </c>
      <c r="M10" s="90">
        <f>'Reduce heating hours'!L65/1000</f>
        <v>4.705048316</v>
      </c>
      <c r="N10" s="91">
        <f>'Reduce heating hours'!M65/1000</f>
        <v>7.057572474</v>
      </c>
      <c r="O10" s="92">
        <f>'Reduce heating hours'!N65/1000</f>
        <v>0.15102019</v>
      </c>
      <c r="P10" s="90">
        <f>'Reduce heating hours'!O65/1000</f>
        <v>0.30204038</v>
      </c>
      <c r="Q10" s="91">
        <f>'Reduce heating hours'!P65/1000</f>
        <v>0.45306057</v>
      </c>
      <c r="R10" s="92">
        <f>'Reduce heating hours'!Q65/1000</f>
        <v>0.08268415151</v>
      </c>
      <c r="S10" s="90">
        <f>'Reduce heating hours'!R65/1000</f>
        <v>0.165368303</v>
      </c>
      <c r="T10" s="91">
        <f>'Reduce heating hours'!S65/1000</f>
        <v>0.2480524545</v>
      </c>
      <c r="U10" s="93">
        <f>(L10+O10+R10)/numberDwellingsUK*1000000</f>
        <v>0.09186066372</v>
      </c>
      <c r="V10" s="94">
        <f>(M10+P10+S10)/numberDwellingsUK*1000000</f>
        <v>0.1837213274</v>
      </c>
      <c r="W10" s="95">
        <f>(N10+Q10+T10)/numberDwellingsUK*1000000</f>
        <v>0.2755819912</v>
      </c>
      <c r="X10" s="96">
        <f>(B10*gasPriceP*L10+E10*oilPriceP*O10+H10*electricityPriceDualRateP*R10)/100/SUM(L10,O10,R10)</f>
        <v>8.548682317</v>
      </c>
      <c r="Y10" s="97">
        <f>(C10*gasPriceP*M10+F10*oilPriceP*P10+I10*electricityPriceDualRateP*S10)/100/SUM(M10,P10,S10)</f>
        <v>11.71007294</v>
      </c>
      <c r="Z10" s="98">
        <f>(D10*gasPriceP*N10+G10*oilPriceP*Q10+J10*electricityPriceP*T10)/100/SUM(N10,Q10,T10)</f>
        <v>14.98119941</v>
      </c>
      <c r="AA10" s="99">
        <f>(B10*L10*carbonGasPerkWh+E10*O10*carbonOilPerkWh + H10*R10*carbonElectricityPerkWh)</f>
        <v>58.5375208</v>
      </c>
      <c r="AB10" s="100">
        <f>(C10*M10*carbonGasPerkWh+F10*P10*carbonOilPerkWh + I10*S10*carbonElectricityPerkWh)</f>
        <v>158.3752039</v>
      </c>
      <c r="AC10" s="101">
        <f>(D10*N10*carbonGasPerkWh+G10*Q10*carbonOilPerkWh + J10*T10*carbonElectricityPerkWh)</f>
        <v>302.7016182</v>
      </c>
      <c r="AD10" s="102">
        <f>U10*numberDwellingsUK*B10/1000000000</f>
        <v>0.2844851349</v>
      </c>
      <c r="AE10" s="102">
        <f>V10*numberDwellingsUK*C10/1000000000</f>
        <v>0.7758685499</v>
      </c>
      <c r="AF10" s="102">
        <f>W10*numberDwellingsUK*D10/1000000000</f>
        <v>1.474150245</v>
      </c>
      <c r="AG10" s="96">
        <f>ROUND(V10*numberDwellingsUK*Y10,-3)</f>
        <v>60570000</v>
      </c>
      <c r="AH10" s="103" t="str">
        <f>'Reduce heating hours'!K59</f>
        <v>-</v>
      </c>
      <c r="AI10" s="103" t="s">
        <v>27</v>
      </c>
      <c r="AJ10" s="103" t="s">
        <v>28</v>
      </c>
      <c r="AL10" s="104"/>
      <c r="AM10" s="105"/>
      <c r="AN10" s="105"/>
      <c r="AO10" s="106"/>
    </row>
    <row r="11">
      <c r="A11" s="113" t="str">
        <f>'Turn off pre-heat'!A40</f>
        <v>Turn off pre-heat facility</v>
      </c>
      <c r="B11" s="85">
        <f>'Turn off pre-heat'!B40</f>
        <v>2.573529412</v>
      </c>
      <c r="C11" s="86">
        <f>'Turn off pre-heat'!C40</f>
        <v>92.64705882</v>
      </c>
      <c r="D11" s="87">
        <f>'Turn off pre-heat'!D40</f>
        <v>466.6666667</v>
      </c>
      <c r="E11" s="85">
        <f>'Turn off pre-heat'!E40</f>
        <v>0</v>
      </c>
      <c r="F11" s="86">
        <f>'Turn off pre-heat'!F40</f>
        <v>0</v>
      </c>
      <c r="G11" s="87">
        <f>'Turn off pre-heat'!G40</f>
        <v>0</v>
      </c>
      <c r="H11" s="85">
        <f>'Turn off pre-heat'!H40</f>
        <v>0</v>
      </c>
      <c r="I11" s="86">
        <f>'Turn off pre-heat'!I40</f>
        <v>0</v>
      </c>
      <c r="J11" s="87">
        <f>'Turn off pre-heat'!J40</f>
        <v>0</v>
      </c>
      <c r="K11" s="88">
        <f>C11/MeanDomesticGasBill</f>
        <v>0.007895811612</v>
      </c>
      <c r="L11" s="92">
        <f>'Turn off pre-heat'!K40/1000</f>
        <v>3.039461212</v>
      </c>
      <c r="M11" s="90">
        <f>'Turn off pre-heat'!L40/1000</f>
        <v>6.39886571</v>
      </c>
      <c r="N11" s="91">
        <f>'Turn off pre-heat'!M40/1000</f>
        <v>10.07821349</v>
      </c>
      <c r="O11" s="92">
        <f>'Turn off pre-heat'!N40/1000</f>
        <v>0</v>
      </c>
      <c r="P11" s="90">
        <f>'Turn off pre-heat'!O40/1000</f>
        <v>0</v>
      </c>
      <c r="Q11" s="91">
        <f>'Turn off pre-heat'!P40/1000</f>
        <v>0</v>
      </c>
      <c r="R11" s="92">
        <f>'Turn off pre-heat'!Q40/1000</f>
        <v>0</v>
      </c>
      <c r="S11" s="90">
        <f>'Turn off pre-heat'!R40/1000</f>
        <v>0</v>
      </c>
      <c r="T11" s="91">
        <f>'Turn off pre-heat'!S40/1000</f>
        <v>0</v>
      </c>
      <c r="U11" s="93">
        <f>(L11+O11+R11)/numberDwellingsUK*1000000</f>
        <v>0.1079591089</v>
      </c>
      <c r="V11" s="94">
        <f>(M11+P11+S11)/numberDwellingsUK*1000000</f>
        <v>0.2272823346</v>
      </c>
      <c r="W11" s="95">
        <f>(N11+Q11+T11)/numberDwellingsUK*1000000</f>
        <v>0.357969677</v>
      </c>
      <c r="X11" s="96">
        <f>(B11*gasPriceP*L11+E11*oilPriceP*O11+H11*electricityPriceDualRateP*R11)/100/SUM(L11,O11,R11)</f>
        <v>0.1778137255</v>
      </c>
      <c r="Y11" s="97">
        <f>(C11*gasPriceP*M11+F11*oilPriceP*P11+I11*electricityPriceDualRateP*S11)/100/SUM(M11,P11,S11)</f>
        <v>6.401294118</v>
      </c>
      <c r="Z11" s="98">
        <f>(D11*gasPriceP*N11+G11*oilPriceP*Q11+J11*electricityPriceDualRateP*T11)/100/SUM(N11,Q11,T11)</f>
        <v>32.24355556</v>
      </c>
      <c r="AA11" s="99">
        <f>(B11*L11*carbonGasPerkWh+E11*O11*carbonOilPerkWh + H11*R11*carbonElectricityPerkWh)</f>
        <v>1.43927428</v>
      </c>
      <c r="AB11" s="100">
        <f>(C11*M11*carbonGasPerkWh+F11*P11*carbonOilPerkWh + I11*S11*carbonElectricityPerkWh)</f>
        <v>109.0818402</v>
      </c>
      <c r="AC11" s="101">
        <f>(D11*N11*carbonGasPerkWh+G11*Q11*carbonOilPerkWh + J11*T11*carbonElectricityPerkWh)</f>
        <v>865.3825986</v>
      </c>
      <c r="AD11" s="102">
        <f>U11*numberDwellingsUK*B11/1000000000</f>
        <v>0.007822142825</v>
      </c>
      <c r="AE11" s="102">
        <f>V11*numberDwellingsUK*C11/1000000000</f>
        <v>0.5928360878</v>
      </c>
      <c r="AF11" s="102">
        <f>W11*numberDwellingsUK*D11/1000000000</f>
        <v>4.703166297</v>
      </c>
      <c r="AG11" s="96">
        <f>ROUND(V11*numberDwellingsUK*Y11,-3)</f>
        <v>40961000</v>
      </c>
      <c r="AH11" s="103" t="str">
        <f>'Turn off pre-heat'!T40</f>
        <v>-</v>
      </c>
      <c r="AI11" s="103" t="s">
        <v>27</v>
      </c>
      <c r="AJ11" s="103" t="s">
        <v>30</v>
      </c>
      <c r="AL11" s="104"/>
      <c r="AM11" s="105"/>
      <c r="AN11" s="105"/>
      <c r="AO11" s="106"/>
    </row>
    <row r="12">
      <c r="A12" s="113" t="str">
        <f>'Turn off pre-heat'!A41</f>
        <v>Adjust timer for pre-heat</v>
      </c>
      <c r="B12" s="85">
        <f>'Turn off pre-heat'!B41</f>
        <v>1.801470588</v>
      </c>
      <c r="C12" s="86">
        <f>'Turn off pre-heat'!C41</f>
        <v>46.32352941</v>
      </c>
      <c r="D12" s="87">
        <f>'Turn off pre-heat'!D41</f>
        <v>140</v>
      </c>
      <c r="E12" s="85">
        <f>'Turn off pre-heat'!E41</f>
        <v>0</v>
      </c>
      <c r="F12" s="86">
        <f>'Turn off pre-heat'!F41</f>
        <v>0</v>
      </c>
      <c r="G12" s="87">
        <f>'Turn off pre-heat'!G41</f>
        <v>0</v>
      </c>
      <c r="H12" s="85">
        <f>'Turn off pre-heat'!H41</f>
        <v>0</v>
      </c>
      <c r="I12" s="86">
        <f>'Turn off pre-heat'!I41</f>
        <v>0</v>
      </c>
      <c r="J12" s="87">
        <f>'Turn off pre-heat'!J41</f>
        <v>0</v>
      </c>
      <c r="K12" s="88">
        <f>C12/MeanDomesticGasBill</f>
        <v>0.003947905806</v>
      </c>
      <c r="L12" s="92">
        <f>'Turn off pre-heat'!K41/1000</f>
        <v>0.1519730606</v>
      </c>
      <c r="M12" s="90">
        <f>'Turn off pre-heat'!L41/1000</f>
        <v>0.639886571</v>
      </c>
      <c r="N12" s="91">
        <f>'Turn off pre-heat'!M41/1000</f>
        <v>2.015642699</v>
      </c>
      <c r="O12" s="92">
        <f>'Turn off pre-heat'!N41/1000</f>
        <v>0</v>
      </c>
      <c r="P12" s="90">
        <f>'Turn off pre-heat'!O41/1000</f>
        <v>0</v>
      </c>
      <c r="Q12" s="91">
        <f>'Turn off pre-heat'!P41/1000</f>
        <v>0</v>
      </c>
      <c r="R12" s="92">
        <f>'Turn off pre-heat'!Q41/1000</f>
        <v>0</v>
      </c>
      <c r="S12" s="90">
        <f>'Turn off pre-heat'!R41/1000</f>
        <v>0</v>
      </c>
      <c r="T12" s="91">
        <f>'Turn off pre-heat'!S41/1000</f>
        <v>0</v>
      </c>
      <c r="U12" s="93">
        <f>(L12+O12+R12)/numberDwellingsUK*1000000</f>
        <v>0.005397955446</v>
      </c>
      <c r="V12" s="94">
        <f>(M12+P12+S12)/numberDwellingsUK*1000000</f>
        <v>0.02272823346</v>
      </c>
      <c r="W12" s="95">
        <f>(N12+Q12+T12)/numberDwellingsUK*1000000</f>
        <v>0.07159393539</v>
      </c>
      <c r="X12" s="96">
        <f>(B12*gasPriceP*L12+E12*oilPriceP*O12+H12*electricityPriceDualRateP*R12)/100/SUM(L12,O12,R12)</f>
        <v>0.1244696078</v>
      </c>
      <c r="Y12" s="97">
        <f>(C12*gasPriceP*M12+F12*oilPriceP*P12+I12*electricityPriceDualRateP*S12)/100/SUM(M12,P12,S12)</f>
        <v>3.200647059</v>
      </c>
      <c r="Z12" s="98">
        <f>(D12*gasPriceP*N12+G12*oilPriceP*Q12+J12*electricityPriceDualRateP*T12)/100/SUM(N12,Q12,T12)</f>
        <v>9.673066667</v>
      </c>
      <c r="AA12" s="99">
        <f>(B12*L12*carbonGasPerkWh+E12*O12*carbonOilPerkWh + H12*R12*carbonElectricityPerkWh)</f>
        <v>0.0503745998</v>
      </c>
      <c r="AB12" s="100">
        <f>(C12*M12*carbonGasPerkWh+F12*P12*carbonOilPerkWh + I12*S12*carbonElectricityPerkWh)</f>
        <v>5.454092008</v>
      </c>
      <c r="AC12" s="101">
        <f>(D12*N12*carbonGasPerkWh+G12*Q12*carbonOilPerkWh + J12*T12*carbonElectricityPerkWh)</f>
        <v>51.92295592</v>
      </c>
      <c r="AD12" s="102">
        <f>U12*numberDwellingsUK*B12/1000000000</f>
        <v>0.0002737749989</v>
      </c>
      <c r="AE12" s="102">
        <f>V12*numberDwellingsUK*C12/1000000000</f>
        <v>0.02964180439</v>
      </c>
      <c r="AF12" s="102">
        <f>W12*numberDwellingsUK*D12/1000000000</f>
        <v>0.2821899778</v>
      </c>
      <c r="AG12" s="96">
        <f>ROUND(V12*numberDwellingsUK*Y12,-3)</f>
        <v>2048000</v>
      </c>
      <c r="AH12" s="103" t="str">
        <f>'Turn off pre-heat'!T41</f>
        <v>-</v>
      </c>
      <c r="AI12" s="103" t="s">
        <v>27</v>
      </c>
      <c r="AJ12" s="103" t="s">
        <v>30</v>
      </c>
      <c r="AL12" s="104"/>
      <c r="AM12" s="105"/>
      <c r="AN12" s="105"/>
      <c r="AO12" s="106" t="str">
        <f>'Turn off pre-heat'!T40</f>
        <v>-</v>
      </c>
    </row>
    <row r="13">
      <c r="A13" s="109" t="str">
        <f>'Reducing DHW temp. (cylinder)'!A49</f>
        <v>Reducing the cylinder temperature to 60°C</v>
      </c>
      <c r="B13" s="85">
        <f>ROUND('Reducing DHW temp. (cylinder)'!B49,-1)</f>
        <v>80</v>
      </c>
      <c r="C13" s="86">
        <f>ROUND('Reducing DHW temp. (cylinder)'!C49,-1)</f>
        <v>230</v>
      </c>
      <c r="D13" s="87">
        <f>ROUND('Reducing DHW temp. (cylinder)'!D49,-1)</f>
        <v>390</v>
      </c>
      <c r="E13" s="85">
        <f>ROUND('Reducing DHW temp. (cylinder)'!E49,-1)</f>
        <v>230</v>
      </c>
      <c r="F13" s="86">
        <f>ROUND('Reducing DHW temp. (cylinder)'!F49,-1)</f>
        <v>430</v>
      </c>
      <c r="G13" s="87">
        <f>ROUND('Reducing DHW temp. (cylinder)'!G49,-1)</f>
        <v>590</v>
      </c>
      <c r="H13" s="85">
        <f>ROUND('Reducing DHW temp. (cylinder)'!H49,-1)</f>
        <v>0</v>
      </c>
      <c r="I13" s="86">
        <f>ROUND('Reducing DHW temp. (cylinder)'!I49,-1)</f>
        <v>0</v>
      </c>
      <c r="J13" s="87">
        <f>ROUND('Reducing DHW temp. (cylinder)'!J49,-1)</f>
        <v>0</v>
      </c>
      <c r="K13" s="88">
        <f>C13/MeanDomesticGasBill</f>
        <v>0.01960166565</v>
      </c>
      <c r="L13" s="92">
        <f>'Reducing DHW temp. (cylinder)'!K49/1000</f>
        <v>3.57583672</v>
      </c>
      <c r="M13" s="90">
        <f>'Reducing DHW temp. (cylinder)'!L49/1000</f>
        <v>6.022461844</v>
      </c>
      <c r="N13" s="91">
        <f>'Reducing DHW temp. (cylinder)'!M49/1000</f>
        <v>7.866840784</v>
      </c>
      <c r="O13" s="92">
        <f>'Reducing DHW temp. (cylinder)'!N49/1000</f>
        <v>0.559529804</v>
      </c>
      <c r="P13" s="90">
        <f>'Reducing DHW temp. (cylinder)'!O49/1000</f>
        <v>0.9423659856</v>
      </c>
      <c r="Q13" s="91">
        <f>'Reducing DHW temp. (cylinder)'!P49/1000</f>
        <v>1.230965569</v>
      </c>
      <c r="R13" s="92">
        <f>'Reducing DHW temp. (cylinder)'!Q49/1000</f>
        <v>0</v>
      </c>
      <c r="S13" s="90">
        <f>'Reducing DHW temp. (cylinder)'!R49/1000</f>
        <v>0</v>
      </c>
      <c r="T13" s="91">
        <f>'Reducing DHW temp. (cylinder)'!S49/1000</f>
        <v>0</v>
      </c>
      <c r="U13" s="93">
        <f>(L13+O13+R13)/numberDwellingsUK*1000000</f>
        <v>0.146884745</v>
      </c>
      <c r="V13" s="94">
        <f>(M13+P13+S13)/numberDwellingsUK*1000000</f>
        <v>0.2473848337</v>
      </c>
      <c r="W13" s="95">
        <f>(N13+Q13+T13)/numberDwellingsUK*1000000</f>
        <v>0.323146439</v>
      </c>
      <c r="X13" s="96">
        <f>(B13*gasPriceP*L13+E13*oilPriceP*O13+H13*electricityPriceDualRateP*R13)/100/SUM(L13,O13,R13)</f>
        <v>7.786326492</v>
      </c>
      <c r="Y13" s="97">
        <f>(C13*gasPriceP*M13+F13*oilPriceP*P13+I13*electricityPriceDualRateP*S13)/100/SUM(M13,P13,S13)</f>
        <v>19.36260192</v>
      </c>
      <c r="Z13" s="98">
        <f>(D13*gasPriceP*N13+G13*oilPriceP*Q13+J13*electricityPriceDualRateP*T13)/100/SUM(N13,Q13,T13)</f>
        <v>31.01341265</v>
      </c>
      <c r="AA13" s="99">
        <f>(B13*L13*carbonGasPerkWh+E13*O13*carbonOilPerkWh + H13*R13*carbonElectricityPerkWh)</f>
        <v>87.38311735</v>
      </c>
      <c r="AB13" s="100">
        <f>(C13*M13*carbonGasPerkWh+F13*P13*carbonOilPerkWh + I13*S13*carbonElectricityPerkWh)</f>
        <v>364.2792762</v>
      </c>
      <c r="AC13" s="101">
        <f>(D13*N13*carbonGasPerkWh+G13*Q13*carbonOilPerkWh + J13*T13*carbonElectricityPerkWh)</f>
        <v>760.6173098</v>
      </c>
      <c r="AD13" s="102">
        <f>U13*numberDwellingsUK*B13/1000000000</f>
        <v>0.3308293219</v>
      </c>
      <c r="AE13" s="102">
        <f>V13*numberDwellingsUK*C13/1000000000</f>
        <v>1.601910401</v>
      </c>
      <c r="AF13" s="102">
        <f>W13*numberDwellingsUK*D13/1000000000</f>
        <v>3.548144478</v>
      </c>
      <c r="AG13" s="96">
        <f>ROUND(V13*numberDwellingsUK*Y13,-3)</f>
        <v>134857000</v>
      </c>
      <c r="AH13" s="114" t="str">
        <f>'Reducing DHW temp. (cylinder)'!T49</f>
        <v>-</v>
      </c>
      <c r="AI13" s="115" t="s">
        <v>27</v>
      </c>
      <c r="AJ13" s="103" t="s">
        <v>30</v>
      </c>
      <c r="AL13" s="104"/>
      <c r="AM13" s="105"/>
      <c r="AN13" s="105"/>
      <c r="AO13" s="106"/>
    </row>
    <row r="14">
      <c r="A14" s="109" t="str">
        <f>'Reducing DHW temp. (combi)'!A40</f>
        <v>Reduce DHW temperature to 45°C (low savings), 42°C, or 40°C (high savings)</v>
      </c>
      <c r="B14" s="116">
        <f>ROUND('Reducing DHW temp. (combi)'!B40,-1)</f>
        <v>100</v>
      </c>
      <c r="C14" s="117">
        <f>ROUND('Reducing DHW temp. (combi)'!C40,-1)</f>
        <v>250</v>
      </c>
      <c r="D14" s="118">
        <f>ROUND('Reducing DHW temp. (combi)'!D40,-1)</f>
        <v>460</v>
      </c>
      <c r="E14" s="116">
        <f>ROUND('Reducing DHW temp. (combi)'!E40,-1)</f>
        <v>110</v>
      </c>
      <c r="F14" s="117">
        <f>ROUND('Reducing DHW temp. (combi)'!F40,-1)</f>
        <v>250</v>
      </c>
      <c r="G14" s="118">
        <f>ROUND('Reducing DHW temp. (combi)'!G40,-1)</f>
        <v>450</v>
      </c>
      <c r="H14" s="116">
        <f>ROUND('Reducing DHW temp. (combi)'!H40,-1)</f>
        <v>0</v>
      </c>
      <c r="I14" s="117">
        <f>ROUND('Reducing DHW temp. (combi)'!I40,-1)</f>
        <v>0</v>
      </c>
      <c r="J14" s="118">
        <f>ROUND('Reducing DHW temp. (combi)'!J40,-1)</f>
        <v>0</v>
      </c>
      <c r="K14" s="88">
        <f>C14/MeanDomesticGasBill</f>
        <v>0.02130615832</v>
      </c>
      <c r="L14" s="92">
        <f>'Reducing DHW temp. (combi)'!K40/1000</f>
        <v>15.19730606</v>
      </c>
      <c r="M14" s="90">
        <f>'Reducing DHW temp. (combi)'!L40/1000</f>
        <v>15.99716427</v>
      </c>
      <c r="N14" s="91">
        <f>'Reducing DHW temp. (combi)'!M40/1000</f>
        <v>16.79702249</v>
      </c>
      <c r="O14" s="92">
        <f>'Reducing DHW temp. (combi)'!N40/1000</f>
        <v>0.3156321971</v>
      </c>
      <c r="P14" s="90">
        <f>'Reducing DHW temp. (combi)'!O40/1000</f>
        <v>0.332244418</v>
      </c>
      <c r="Q14" s="91">
        <f>'Reducing DHW temp. (combi)'!P40/1000</f>
        <v>0.3488566389</v>
      </c>
      <c r="R14" s="92">
        <f>'Reducing DHW temp. (combi)'!Q40/1000</f>
        <v>0</v>
      </c>
      <c r="S14" s="90">
        <f>'Reducing DHW temp. (combi)'!R40/1000</f>
        <v>0</v>
      </c>
      <c r="T14" s="90">
        <f>'Reducing DHW temp. (combi)'!S40/1000</f>
        <v>0</v>
      </c>
      <c r="U14" s="94">
        <f>(L14+O14+R14)/numberDwellingsUK*1000000</f>
        <v>0.5510065351</v>
      </c>
      <c r="V14" s="94">
        <f>(M14+P14+S14)/numberDwellingsUK*1000000</f>
        <v>0.5800068791</v>
      </c>
      <c r="W14" s="94">
        <f>(N14+Q14+T14)/numberDwellingsUK*1000000</f>
        <v>0.609007223</v>
      </c>
      <c r="X14" s="96">
        <f>(B14*gasPriceP*L14+E14*oilPriceP*O14+H14*electricityPriceDualRateP*R14)/100/SUM(L14,O14,R14)</f>
        <v>6.984995146</v>
      </c>
      <c r="Y14" s="97">
        <f>(C14*gasPriceP*M14+F14*oilPriceP*P14+I14*electricityPriceDualRateP*S14)/100/SUM(M14,P14,S14)</f>
        <v>17.41334201</v>
      </c>
      <c r="Z14" s="97">
        <f>(D14*gasPriceP*N14+G14*oilPriceP*Q14+J14*electricityPriceDualRateP*T14)/100/SUM(N14,Q14,T14)</f>
        <v>32.02089096</v>
      </c>
      <c r="AA14" s="99">
        <f>(B14*L14*carbonGasPerkWh+E14*O14*carbonOilPerkWh + H14*R14*carbonElectricityPerkWh)</f>
        <v>289.0047078</v>
      </c>
      <c r="AB14" s="100">
        <f>(C14*M14*carbonGasPerkWh+F14*P14*carbonOilPerkWh + I14*S14*carbonElectricityPerkWh)</f>
        <v>758.2960548</v>
      </c>
      <c r="AC14" s="100">
        <f>(D14*N14*carbonGasPerkWh+G14*Q14*carbonOilPerkWh + J14*T14*carbonElectricityPerkWh)</f>
        <v>1464.086065</v>
      </c>
      <c r="AD14" s="102">
        <f>U14*numberDwellingsUK*B14/1000000000</f>
        <v>1.551293826</v>
      </c>
      <c r="AE14" s="102">
        <f>V14*numberDwellingsUK*C14/1000000000</f>
        <v>4.082352173</v>
      </c>
      <c r="AF14" s="102">
        <f>W14*numberDwellingsUK*D14/1000000000</f>
        <v>7.887104398</v>
      </c>
      <c r="AG14" s="96">
        <f>ROUND(V14*numberDwellingsUK*Y14,-3)</f>
        <v>284350000</v>
      </c>
      <c r="AH14" s="119" t="str">
        <f>'Reducing DHW temp. (combi)'!T40</f>
        <v>-</v>
      </c>
      <c r="AI14" s="120" t="s">
        <v>29</v>
      </c>
      <c r="AJ14" s="103" t="s">
        <v>30</v>
      </c>
      <c r="AL14" s="104"/>
      <c r="AM14" s="105"/>
      <c r="AN14" s="105"/>
      <c r="AO14" s="106"/>
    </row>
    <row r="15" ht="33.75" customHeight="1">
      <c r="A15" s="121" t="s">
        <v>31</v>
      </c>
      <c r="B15" s="122" t="s">
        <v>32</v>
      </c>
      <c r="J15" s="123"/>
      <c r="K15" s="124"/>
      <c r="L15" s="125"/>
      <c r="M15" s="126"/>
      <c r="N15" s="127"/>
      <c r="O15" s="122"/>
      <c r="P15" s="128"/>
      <c r="Q15" s="129"/>
      <c r="R15" s="122"/>
      <c r="S15" s="128"/>
      <c r="T15" s="128"/>
      <c r="U15" s="130" t="s">
        <v>32</v>
      </c>
      <c r="AI15" s="131" t="s">
        <v>27</v>
      </c>
      <c r="AJ15" s="131" t="s">
        <v>33</v>
      </c>
      <c r="AL15" s="104"/>
      <c r="AM15" s="105"/>
      <c r="AN15" s="105"/>
      <c r="AO15" s="106"/>
    </row>
    <row r="16">
      <c r="A16" s="132" t="s">
        <v>34</v>
      </c>
      <c r="B16" s="133">
        <f>ROUND('Closing curtains'!B37,-1)</f>
        <v>30</v>
      </c>
      <c r="C16" s="134">
        <f>ROUND('Closing curtains'!C37,-1)</f>
        <v>90</v>
      </c>
      <c r="D16" s="135">
        <f>ROUND('Closing curtains'!D37,-1)</f>
        <v>180</v>
      </c>
      <c r="E16" s="133">
        <f>ROUND('Closing curtains'!E37,-1)</f>
        <v>50</v>
      </c>
      <c r="F16" s="134">
        <f>ROUND('Closing curtains'!F37,-1)</f>
        <v>160</v>
      </c>
      <c r="G16" s="135">
        <f>ROUND('Closing curtains'!G37,-1)</f>
        <v>300</v>
      </c>
      <c r="H16" s="133">
        <f>ROUND('Closing curtains'!H37,-1)</f>
        <v>20</v>
      </c>
      <c r="I16" s="134">
        <f>ROUND('Closing curtains'!I37,-1)</f>
        <v>60</v>
      </c>
      <c r="J16" s="135">
        <f>ROUND('Closing curtains'!J37,-1)</f>
        <v>100</v>
      </c>
      <c r="K16" s="88">
        <f>C16/MeanDomesticGasBill</f>
        <v>0.007670216994</v>
      </c>
      <c r="L16" s="136">
        <f>'Closing curtains'!K37/1000</f>
        <v>9.410096632</v>
      </c>
      <c r="M16" s="137">
        <f>'Closing curtains'!L37/1000</f>
        <v>11.76262079</v>
      </c>
      <c r="N16" s="138">
        <f>'Closing curtains'!M37/1000</f>
        <v>14.11514495</v>
      </c>
      <c r="O16" s="136">
        <f>'Closing curtains'!N37/1000</f>
        <v>0.60408076</v>
      </c>
      <c r="P16" s="137">
        <f>'Closing curtains'!O37/1000</f>
        <v>0.75510095</v>
      </c>
      <c r="Q16" s="138">
        <f>'Closing curtains'!P37/1000</f>
        <v>0.90612114</v>
      </c>
      <c r="R16" s="136">
        <f>'Closing curtains'!Q37/1000</f>
        <v>0.857835656</v>
      </c>
      <c r="S16" s="137">
        <f>'Closing curtains'!R37/1000</f>
        <v>1.07229457</v>
      </c>
      <c r="T16" s="138">
        <f>'Closing curtains'!S37/1000</f>
        <v>1.286753484</v>
      </c>
      <c r="U16" s="93">
        <f>(L16+O16+R16)/numberDwellingsUK*1000000</f>
        <v>0.3861647703</v>
      </c>
      <c r="V16" s="94">
        <f>(M16+P16+S16)/numberDwellingsUK*1000000</f>
        <v>0.4827059629</v>
      </c>
      <c r="W16" s="95">
        <f>(N16+Q16+T16)/numberDwellingsUK*1000000</f>
        <v>0.5792471555</v>
      </c>
      <c r="X16" s="96">
        <f>(B16*gasPriceP*L16+E16*oilPriceP*O16+H16*electricityPriceDualRateP*R16)/100/SUM(L16,O16,R16)</f>
        <v>2.477884404</v>
      </c>
      <c r="Y16" s="97">
        <f>(C16*gasPriceP*M16+F16*oilPriceP*P16+I16*electricityPriceDualRateP*S16)/100/SUM(M16,P16,S16)</f>
        <v>7.487337189</v>
      </c>
      <c r="Z16" s="98">
        <f>(D16*gasPriceP*N16+G16*oilPriceP*Q16+J16*electricityPriceDualRateP*T16)/100/SUM(N16,Q16,T16)</f>
        <v>14.45192072</v>
      </c>
      <c r="AA16" s="99">
        <f>(B16*L16*carbonGasPerkWh+E16*O16*carbonOilPerkWh + H16*R16*carbonElectricityPerkWh)</f>
        <v>63.42722601</v>
      </c>
      <c r="AB16" s="100">
        <f>(C16*M16*carbonGasPerkWh+F16*P16*carbonOilPerkWh + I16*S16*carbonElectricityPerkWh)</f>
        <v>239.8908701</v>
      </c>
      <c r="AC16" s="101">
        <f>(D16*N16*carbonGasPerkWh+G16*Q16*carbonOilPerkWh + J16*T16*carbonElectricityPerkWh)</f>
        <v>565.8524306</v>
      </c>
      <c r="AD16" s="102">
        <f>U16*numberDwellingsUK*B16/1000000000</f>
        <v>0.3261603914</v>
      </c>
      <c r="AE16" s="102">
        <f>V16*numberDwellingsUK*C16/1000000000</f>
        <v>1.223101468</v>
      </c>
      <c r="AF16" s="102">
        <f>W16*numberDwellingsUK*D16/1000000000</f>
        <v>2.935443523</v>
      </c>
      <c r="AG16" s="96">
        <f>ROUND(V16*numberDwellingsUK*Y16,-3)</f>
        <v>101753000</v>
      </c>
      <c r="AH16" s="103" t="str">
        <f>'Closing curtains'!T37</f>
        <v>-</v>
      </c>
      <c r="AI16" s="103" t="s">
        <v>27</v>
      </c>
      <c r="AJ16" s="103" t="s">
        <v>30</v>
      </c>
      <c r="AL16" s="104"/>
      <c r="AM16" s="105"/>
      <c r="AN16" s="105"/>
      <c r="AO16" s="106"/>
    </row>
    <row r="17">
      <c r="A17" s="139" t="str">
        <f>'Window treatments'!A43</f>
        <v>Add window film to all windows</v>
      </c>
      <c r="B17" s="85">
        <f>ROUND('Window treatments'!B43,-1)</f>
        <v>250</v>
      </c>
      <c r="C17" s="86">
        <f>ROUND('Window treatments'!C43,-1)</f>
        <v>380</v>
      </c>
      <c r="D17" s="87">
        <f>ROUND('Window treatments'!D43,-1)</f>
        <v>500</v>
      </c>
      <c r="E17" s="85">
        <f>ROUND('Window treatments'!E43,-1)</f>
        <v>440</v>
      </c>
      <c r="F17" s="86">
        <f>ROUND('Window treatments'!F43,-1)</f>
        <v>650</v>
      </c>
      <c r="G17" s="87">
        <f>ROUND('Window treatments'!G43,-1)</f>
        <v>860</v>
      </c>
      <c r="H17" s="85">
        <f>ROUND('Window treatments'!H43,-1)</f>
        <v>160</v>
      </c>
      <c r="I17" s="86">
        <f>ROUND('Window treatments'!I43,-1)</f>
        <v>220</v>
      </c>
      <c r="J17" s="87">
        <f>ROUND('Window treatments'!J43,-1)</f>
        <v>300</v>
      </c>
      <c r="K17" s="88">
        <f>C17/MeanDomesticGasBill</f>
        <v>0.03238536064</v>
      </c>
      <c r="L17" s="136">
        <f>'Window treatments'!K43/1000</f>
        <v>18.82019326</v>
      </c>
      <c r="M17" s="137">
        <f>'Window treatments'!L43/1000</f>
        <v>21.17271742</v>
      </c>
      <c r="N17" s="138">
        <f>'Window treatments'!M43/1000</f>
        <v>23.52524158</v>
      </c>
      <c r="O17" s="136">
        <f>'Window treatments'!N43/1000</f>
        <v>1.20816152</v>
      </c>
      <c r="P17" s="137">
        <f>'Window treatments'!O43/1000</f>
        <v>1.35918171</v>
      </c>
      <c r="Q17" s="138">
        <f>'Window treatments'!P43/1000</f>
        <v>1.5102019</v>
      </c>
      <c r="R17" s="136">
        <f>'Window treatments'!Q43/1000</f>
        <v>1.715671312</v>
      </c>
      <c r="S17" s="137">
        <f>'Window treatments'!R43/1000</f>
        <v>1.930130226</v>
      </c>
      <c r="T17" s="138">
        <f>'Window treatments'!S43/1000</f>
        <v>2.14458914</v>
      </c>
      <c r="U17" s="93">
        <f>(L17+O17+R17)/numberDwellingsUK*1000000</f>
        <v>0.7723295407</v>
      </c>
      <c r="V17" s="94">
        <f>(M17+P17+S17)/numberDwellingsUK*1000000</f>
        <v>0.8688707332</v>
      </c>
      <c r="W17" s="95">
        <f>(N17+Q17+T17)/numberDwellingsUK*1000000</f>
        <v>0.9654119258</v>
      </c>
      <c r="X17" s="96">
        <f>(B17*gasPriceP*L17+E17*oilPriceP*O17+H17*electricityPriceDualRateP*R17)/100/SUM(L17,O17,R17)</f>
        <v>20.63583741</v>
      </c>
      <c r="Y17" s="97">
        <f>(C17*gasPriceP*M17+F17*oilPriceP*P17+I17*electricityPriceDualRateP*S17)/100/SUM(M17,P17,S17)</f>
        <v>30.78369958</v>
      </c>
      <c r="Z17" s="98">
        <f>(D17*gasPriceP*N17+G17*oilPriceP*Q17+J17*electricityPriceDualRateP*T17)/100/SUM(N17,Q17,T17)</f>
        <v>40.74892117</v>
      </c>
      <c r="AA17" s="99">
        <f>(B17*L17*carbonGasPerkWh+E17*O17*carbonOilPerkWh + H17*R17*carbonElectricityPerkWh)</f>
        <v>1062.512916</v>
      </c>
      <c r="AB17" s="100">
        <f>(C17*M17*carbonGasPerkWh+F17*P17*carbonOilPerkWh + I17*S17*carbonElectricityPerkWh)</f>
        <v>1801.31075</v>
      </c>
      <c r="AC17" s="101">
        <f>(D17*N17*carbonGasPerkWh+G17*Q17*carbonOilPerkWh + J17*T17*carbonElectricityPerkWh)</f>
        <v>2639.806194</v>
      </c>
      <c r="AD17" s="102">
        <f>U17*numberDwellingsUK*B17/1000000000</f>
        <v>5.436006524</v>
      </c>
      <c r="AE17" s="102">
        <f>V17*numberDwellingsUK*C17/1000000000</f>
        <v>9.295571156</v>
      </c>
      <c r="AF17" s="102">
        <f>W17*numberDwellingsUK*D17/1000000000</f>
        <v>13.59001631</v>
      </c>
      <c r="AG17" s="96">
        <f>ROUND(V17*numberDwellingsUK*Y17,-3)</f>
        <v>753032000</v>
      </c>
      <c r="AH17" s="140" t="str">
        <f>'Window treatments'!T43</f>
        <v>low</v>
      </c>
      <c r="AI17" s="140" t="s">
        <v>27</v>
      </c>
      <c r="AJ17" s="103" t="s">
        <v>30</v>
      </c>
      <c r="AL17" s="104"/>
      <c r="AM17" s="105"/>
      <c r="AN17" s="105"/>
    </row>
    <row r="18">
      <c r="A18" s="139" t="str">
        <f>'Window treatments'!A44</f>
        <v>Add window film to all single glazed windows</v>
      </c>
      <c r="B18" s="85">
        <f>ROUND('Window treatments'!B44,-1)</f>
        <v>40</v>
      </c>
      <c r="C18" s="86">
        <f>ROUND('Window treatments'!C44,-1)</f>
        <v>60</v>
      </c>
      <c r="D18" s="87">
        <f>ROUND('Window treatments'!D44,-1)</f>
        <v>80</v>
      </c>
      <c r="E18" s="85">
        <f>ROUND('Window treatments'!E44,-1)</f>
        <v>140</v>
      </c>
      <c r="F18" s="86">
        <f>ROUND('Window treatments'!F44,-1)</f>
        <v>210</v>
      </c>
      <c r="G18" s="87">
        <f>ROUND('Window treatments'!G44,-1)</f>
        <v>280</v>
      </c>
      <c r="H18" s="85">
        <f>ROUND('Window treatments'!H44,-1)</f>
        <v>30</v>
      </c>
      <c r="I18" s="86">
        <f>ROUND('Window treatments'!I44,-1)</f>
        <v>50</v>
      </c>
      <c r="J18" s="87">
        <f>ROUND('Window treatments'!J44,-1)</f>
        <v>70</v>
      </c>
      <c r="K18" s="88">
        <f>C18/MeanDomesticGasBill</f>
        <v>0.005113477996</v>
      </c>
      <c r="L18" s="136">
        <f>'Window treatments'!K44/1000</f>
        <v>18.82019326</v>
      </c>
      <c r="M18" s="137">
        <f>'Window treatments'!L44/1000</f>
        <v>21.17271742</v>
      </c>
      <c r="N18" s="138">
        <f>'Window treatments'!M44/1000</f>
        <v>23.52524158</v>
      </c>
      <c r="O18" s="136">
        <f>'Window treatments'!N44/1000</f>
        <v>1.20816152</v>
      </c>
      <c r="P18" s="137">
        <f>'Window treatments'!O44/1000</f>
        <v>1.35918171</v>
      </c>
      <c r="Q18" s="138">
        <f>'Window treatments'!P44/1000</f>
        <v>1.5102019</v>
      </c>
      <c r="R18" s="136">
        <f>'Window treatments'!Q44/1000</f>
        <v>1.715671312</v>
      </c>
      <c r="S18" s="137">
        <f>'Window treatments'!R44/1000</f>
        <v>1.930130226</v>
      </c>
      <c r="T18" s="138">
        <f>'Window treatments'!S44/1000</f>
        <v>2.14458914</v>
      </c>
      <c r="U18" s="93">
        <f>(L18+O18+R18)/numberDwellingsUK*1000000</f>
        <v>0.7723295407</v>
      </c>
      <c r="V18" s="94">
        <f>(M18+P18+S18)/numberDwellingsUK*1000000</f>
        <v>0.8688707332</v>
      </c>
      <c r="W18" s="95">
        <f>(N18+Q18+T18)/numberDwellingsUK*1000000</f>
        <v>0.9654119258</v>
      </c>
      <c r="X18" s="96">
        <f>(B18*gasPriceP*L18+E18*oilPriceP*O18+H18*electricityPriceDualRateP*R18)/100/SUM(L18,O18,R18)</f>
        <v>3.766759326</v>
      </c>
      <c r="Y18" s="97">
        <f>(C18*gasPriceP*M18+F18*oilPriceP*P18+I18*electricityPriceDualRateP*S18)/100/SUM(M18,P18,S18)</f>
        <v>5.753985413</v>
      </c>
      <c r="Z18" s="98">
        <f>(D18*gasPriceP*N18+G18*oilPriceP*Q18+J18*electricityPriceDualRateP*T18)/100/SUM(N18,Q18,T18)</f>
        <v>7.741211501</v>
      </c>
      <c r="AA18" s="99">
        <f>(B18*L18*carbonGasPerkWh+E18*O18*carbonOilPerkWh + H18*R18*carbonElectricityPerkWh)</f>
        <v>194.1703349</v>
      </c>
      <c r="AB18" s="100">
        <f>(C18*M18*carbonGasPerkWh+F18*P18*carbonOilPerkWh + I18*S18*carbonElectricityPerkWh)</f>
        <v>329.5346665</v>
      </c>
      <c r="AC18" s="101">
        <f>(D18*N18*carbonGasPerkWh+G18*Q18*carbonOilPerkWh + J18*T18*carbonElectricityPerkWh)</f>
        <v>489.5863402</v>
      </c>
      <c r="AD18" s="102">
        <f>U18*numberDwellingsUK*B18/1000000000</f>
        <v>0.8697610438</v>
      </c>
      <c r="AE18" s="102">
        <f>V18*numberDwellingsUK*C18/1000000000</f>
        <v>1.467721761</v>
      </c>
      <c r="AF18" s="102">
        <f>W18*numberDwellingsUK*D18/1000000000</f>
        <v>2.17440261</v>
      </c>
      <c r="AG18" s="96">
        <f>ROUND(V18*numberDwellingsUK*Y18,-3)</f>
        <v>140754000</v>
      </c>
      <c r="AH18" s="140" t="str">
        <f>'Window treatments'!T44</f>
        <v>low</v>
      </c>
      <c r="AI18" s="140" t="s">
        <v>27</v>
      </c>
      <c r="AJ18" s="103" t="s">
        <v>30</v>
      </c>
      <c r="AL18" s="104"/>
      <c r="AM18" s="105"/>
      <c r="AN18" s="105"/>
    </row>
    <row r="19">
      <c r="A19" s="141" t="s">
        <v>35</v>
      </c>
      <c r="B19" s="142"/>
      <c r="C19" s="143"/>
      <c r="D19" s="144"/>
      <c r="E19" s="142"/>
      <c r="F19" s="143"/>
      <c r="G19" s="144"/>
      <c r="H19" s="142"/>
      <c r="I19" s="143"/>
      <c r="J19" s="144"/>
      <c r="K19" s="145"/>
      <c r="L19" s="142"/>
      <c r="M19" s="143"/>
      <c r="N19" s="144"/>
      <c r="O19" s="142"/>
      <c r="P19" s="143"/>
      <c r="Q19" s="144"/>
      <c r="R19" s="142"/>
      <c r="S19" s="143"/>
      <c r="T19" s="144"/>
      <c r="U19" s="146"/>
      <c r="W19" s="147"/>
      <c r="X19" s="146"/>
      <c r="Z19" s="147"/>
      <c r="AA19" s="146"/>
      <c r="AC19" s="147"/>
      <c r="AD19" s="146"/>
      <c r="AF19" s="147"/>
      <c r="AG19" s="148"/>
      <c r="AH19" s="149"/>
      <c r="AI19" s="149"/>
      <c r="AJ19" s="150"/>
      <c r="AL19" s="151"/>
    </row>
    <row r="20">
      <c r="A20" s="57" t="s">
        <v>36</v>
      </c>
      <c r="B20" s="85">
        <f>ROUND('Loft insulation'!B51,-1)</f>
        <v>4520</v>
      </c>
      <c r="C20" s="86">
        <f>ROUND('Loft insulation'!C51,-1)</f>
        <v>5180</v>
      </c>
      <c r="D20" s="87">
        <f>ROUND('Loft insulation'!D51,-1)</f>
        <v>5760</v>
      </c>
      <c r="E20" s="85">
        <f>ROUND('Loft insulation'!E51,-1)</f>
        <v>7300</v>
      </c>
      <c r="F20" s="86">
        <f>ROUND('Loft insulation'!F51,-1)</f>
        <v>8370</v>
      </c>
      <c r="G20" s="87">
        <f>ROUND('Loft insulation'!G51,-1)</f>
        <v>9300</v>
      </c>
      <c r="H20" s="85">
        <f>ROUND('Loft insulation'!H51,-1)</f>
        <v>3560</v>
      </c>
      <c r="I20" s="86">
        <f>ROUND('Loft insulation'!I51,-1)</f>
        <v>4030</v>
      </c>
      <c r="J20" s="87">
        <f>ROUND('Loft insulation'!J51,-1)</f>
        <v>4550</v>
      </c>
      <c r="K20" s="107">
        <f>'Loft insulation'!N12</f>
        <v>0.28</v>
      </c>
      <c r="L20" s="136">
        <f>'Loft insulation'!K51/1000</f>
        <v>0.2352748294</v>
      </c>
      <c r="M20" s="137">
        <f>'Loft insulation'!L51/1000</f>
        <v>0.2483456532</v>
      </c>
      <c r="N20" s="138">
        <f>'Loft insulation'!M51/1000</f>
        <v>0.2588023123</v>
      </c>
      <c r="O20" s="136">
        <f>'Loft insulation'!N51/1000</f>
        <v>0.04239391861</v>
      </c>
      <c r="P20" s="137">
        <f>'Loft insulation'!O51/1000</f>
        <v>0.04474913631</v>
      </c>
      <c r="Q20" s="138">
        <f>'Loft insulation'!P51/1000</f>
        <v>0.04663331047</v>
      </c>
      <c r="R20" s="136">
        <f>'Loft insulation'!Q51/1000</f>
        <v>0.02051478701</v>
      </c>
      <c r="S20" s="137">
        <f>'Loft insulation'!R51/1000</f>
        <v>0.0216544974</v>
      </c>
      <c r="T20" s="138">
        <f>'Loft insulation'!S51/1000</f>
        <v>0.02256626571</v>
      </c>
      <c r="U20" s="93">
        <f>(L20+O20+R20)/numberDwellingsUK*1000000</f>
        <v>0.01059122867</v>
      </c>
      <c r="V20" s="94">
        <f>(M20+P20+S20)/numberDwellingsUK*1000000</f>
        <v>0.01117963026</v>
      </c>
      <c r="W20" s="95">
        <f>(N20+Q20+T20)/numberDwellingsUK*1000000</f>
        <v>0.01165035154</v>
      </c>
      <c r="X20" s="96">
        <f>(B20*gasPriceP*L20+E20*oilPriceP*O20+H20*electricityPriceDualRateP*R20)/100/SUM(L20,O20,R20)</f>
        <v>411.1622819</v>
      </c>
      <c r="Y20" s="97">
        <f>(C20*gasPriceP*M20+F20*oilPriceP*P20+I20*electricityPriceDualRateP*S20)/100/SUM(M20,P20,S20)</f>
        <v>470.3528924</v>
      </c>
      <c r="Z20" s="98">
        <f>(D20*gasPriceP*N20+G20*oilPriceP*Q20+J20*electricityPriceDualRateP*T20)/100/SUM(N20,Q20,T20)</f>
        <v>524.1645418</v>
      </c>
      <c r="AA20" s="99">
        <f>(B20*L20*carbonGasPerkWh+E20*O20*carbonOilPerkWh + H20*R20*carbonElectricityPerkWh)</f>
        <v>293.4001162</v>
      </c>
      <c r="AB20" s="100">
        <f>(C20*M20*carbonGasPerkWh+F20*P20*carbonOilPerkWh + I20*S20*carbonElectricityPerkWh)</f>
        <v>354.7617013</v>
      </c>
      <c r="AC20" s="101">
        <f>(D20*N20*carbonGasPerkWh+G20*Q20*carbonOilPerkWh + J20*T20*carbonElectricityPerkWh)</f>
        <v>411.304528</v>
      </c>
      <c r="AD20" s="102">
        <f>U20*numberDwellingsUK*B20/1000000000</f>
        <v>1.347789578</v>
      </c>
      <c r="AE20" s="102">
        <f>V20*numberDwellingsUK*C20/1000000000</f>
        <v>1.630401306</v>
      </c>
      <c r="AF20" s="102">
        <f>W20*numberDwellingsUK*D20/1000000000</f>
        <v>1.889290878</v>
      </c>
      <c r="AG20" s="96">
        <f>ROUND(V20*numberDwellingsUK*Y20,-3)</f>
        <v>148043000</v>
      </c>
      <c r="AH20" s="140" t="str">
        <f>'Loft insulation'!T51</f>
        <v>high</v>
      </c>
      <c r="AI20" s="140" t="s">
        <v>27</v>
      </c>
      <c r="AJ20" s="103" t="s">
        <v>30</v>
      </c>
      <c r="AL20" s="104"/>
      <c r="AM20" s="105"/>
      <c r="AN20" s="105"/>
    </row>
    <row r="21">
      <c r="A21" s="57" t="s">
        <v>37</v>
      </c>
      <c r="B21" s="85">
        <f>ROUND('Loft insulation'!B52,-1)</f>
        <v>1220</v>
      </c>
      <c r="C21" s="86">
        <f>ROUND('Loft insulation'!C52,-1)</f>
        <v>1510</v>
      </c>
      <c r="D21" s="87">
        <f>ROUND('Loft insulation'!D52,-1)</f>
        <v>1700</v>
      </c>
      <c r="E21" s="85">
        <f>ROUND('Loft insulation'!E52,-1)</f>
        <v>1980</v>
      </c>
      <c r="F21" s="86">
        <f>ROUND('Loft insulation'!F52,-1)</f>
        <v>2430</v>
      </c>
      <c r="G21" s="87">
        <f>ROUND('Loft insulation'!G52,-1)</f>
        <v>2750</v>
      </c>
      <c r="H21" s="85">
        <f>ROUND('Loft insulation'!H52,-1)</f>
        <v>1090</v>
      </c>
      <c r="I21" s="86">
        <f>ROUND('Loft insulation'!I52,-1)</f>
        <v>1200</v>
      </c>
      <c r="J21" s="87">
        <f>ROUND('Loft insulation'!J52,-1)</f>
        <v>1300</v>
      </c>
      <c r="K21" s="107">
        <f>'Loft insulation'!N13</f>
        <v>0.11</v>
      </c>
      <c r="L21" s="136">
        <f>'Loft insulation'!K52/1000</f>
        <v>0.7902686187</v>
      </c>
      <c r="M21" s="137">
        <f>'Loft insulation'!L52/1000</f>
        <v>0.8341724308</v>
      </c>
      <c r="N21" s="138">
        <f>'Loft insulation'!M52/1000</f>
        <v>0.8692954805</v>
      </c>
      <c r="O21" s="136">
        <f>'Loft insulation'!N52/1000</f>
        <v>0.06926276247</v>
      </c>
      <c r="P21" s="137">
        <f>'Loft insulation'!O52/1000</f>
        <v>0.07311069372</v>
      </c>
      <c r="Q21" s="138">
        <f>'Loft insulation'!P52/1000</f>
        <v>0.07618903872</v>
      </c>
      <c r="R21" s="136">
        <f>'Loft insulation'!Q52/1000</f>
        <v>0.08062309341</v>
      </c>
      <c r="S21" s="137">
        <f>'Loft insulation'!R52/1000</f>
        <v>0.08510215416</v>
      </c>
      <c r="T21" s="138">
        <f>'Loft insulation'!S52/1000</f>
        <v>0.08868540275</v>
      </c>
      <c r="U21" s="93">
        <f>(L21+O21+R21)/numberDwellingsUK*1000000</f>
        <v>0.03339349715</v>
      </c>
      <c r="V21" s="94">
        <f>(M21+P21+S21)/numberDwellingsUK*1000000</f>
        <v>0.03524869144</v>
      </c>
      <c r="W21" s="95">
        <f>(N21+Q21+T21)/numberDwellingsUK*1000000</f>
        <v>0.03673284687</v>
      </c>
      <c r="X21" s="96">
        <f>(B21*gasPriceP*L21+E21*oilPriceP*O21+H21*electricityPriceDualRateP*R21)/100/SUM(L21,O21,R21)</f>
        <v>109.5533531</v>
      </c>
      <c r="Y21" s="97">
        <f>(C21*gasPriceP*M21+F21*oilPriceP*P21+I21*electricityPriceDualRateP*S21)/100/SUM(M21,P21,S21)</f>
        <v>132.0821109</v>
      </c>
      <c r="Z21" s="98">
        <f>(D21*gasPriceP*N21+G21*oilPriceP*Q21+J21*electricityPriceDualRateP*T21)/100/SUM(N21,Q21,T21)</f>
        <v>147.6519946</v>
      </c>
      <c r="AA21" s="99">
        <f>(B21*L21*carbonGasPerkWh+E21*O21*carbonOilPerkWh + H21*R21*carbonElectricityPerkWh)</f>
        <v>231.4759317</v>
      </c>
      <c r="AB21" s="100">
        <f>(C21*M21*carbonGasPerkWh+F21*P21*carbonOilPerkWh + I21*S21*carbonElectricityPerkWh)</f>
        <v>299.5461758</v>
      </c>
      <c r="AC21" s="101">
        <f>(D21*N21*carbonGasPerkWh+G21*Q21*carbonOilPerkWh + J21*T21*carbonElectricityPerkWh)</f>
        <v>350.8524461</v>
      </c>
      <c r="AD21" s="102">
        <f>U21*numberDwellingsUK*B21/1000000000</f>
        <v>1.146988459</v>
      </c>
      <c r="AE21" s="102">
        <f>V21*numberDwellingsUK*C21/1000000000</f>
        <v>1.498501771</v>
      </c>
      <c r="AF21" s="102">
        <f>W21*numberDwellingsUK*D21/1000000000</f>
        <v>1.758088867</v>
      </c>
      <c r="AG21" s="96">
        <f>ROUND(V21*numberDwellingsUK*Y21,-3)</f>
        <v>131076000</v>
      </c>
      <c r="AH21" s="140" t="str">
        <f>'Loft insulation'!T52</f>
        <v>high</v>
      </c>
      <c r="AI21" s="140" t="s">
        <v>27</v>
      </c>
      <c r="AJ21" s="103" t="s">
        <v>30</v>
      </c>
      <c r="AL21" s="104"/>
      <c r="AM21" s="105"/>
      <c r="AN21" s="105"/>
    </row>
    <row r="22">
      <c r="A22" s="57" t="s">
        <v>38</v>
      </c>
      <c r="B22" s="85">
        <f>ROUND('Loft insulation'!B53,-1)</f>
        <v>540</v>
      </c>
      <c r="C22" s="86">
        <f>ROUND('Loft insulation'!C53,-1)</f>
        <v>710</v>
      </c>
      <c r="D22" s="87">
        <f>ROUND('Loft insulation'!D53,-1)</f>
        <v>800</v>
      </c>
      <c r="E22" s="85">
        <f>ROUND('Loft insulation'!E53,-1)</f>
        <v>880</v>
      </c>
      <c r="F22" s="86">
        <f>ROUND('Loft insulation'!F53,-1)</f>
        <v>1150</v>
      </c>
      <c r="G22" s="87">
        <f>ROUND('Loft insulation'!G53,-1)</f>
        <v>1290</v>
      </c>
      <c r="H22" s="85">
        <f>ROUND('Loft insulation'!H53,-1)</f>
        <v>480</v>
      </c>
      <c r="I22" s="86">
        <f>ROUND('Loft insulation'!I53,-1)</f>
        <v>550</v>
      </c>
      <c r="J22" s="87">
        <f>ROUND('Loft insulation'!J53,-1)</f>
        <v>610</v>
      </c>
      <c r="K22" s="88">
        <f>'Loft insulation'!N14</f>
        <v>0.058</v>
      </c>
      <c r="L22" s="136">
        <f>'Loft insulation'!K53/1000</f>
        <v>3.94773491</v>
      </c>
      <c r="M22" s="137">
        <f>'Loft insulation'!L53/1000</f>
        <v>4.167053516</v>
      </c>
      <c r="N22" s="138">
        <f>'Loft insulation'!M53/1000</f>
        <v>4.342508401</v>
      </c>
      <c r="O22" s="136">
        <f>'Loft insulation'!N53/1000</f>
        <v>0.3389954768</v>
      </c>
      <c r="P22" s="137">
        <f>'Loft insulation'!O53/1000</f>
        <v>0.3578285588</v>
      </c>
      <c r="Q22" s="138">
        <f>'Loft insulation'!P53/1000</f>
        <v>0.3728950244</v>
      </c>
      <c r="R22" s="136">
        <f>'Loft insulation'!Q53/1000</f>
        <v>0.1907522063</v>
      </c>
      <c r="S22" s="137">
        <f>'Loft insulation'!R53/1000</f>
        <v>0.2013495511</v>
      </c>
      <c r="T22" s="138">
        <f>'Loft insulation'!S53/1000</f>
        <v>0.209827427</v>
      </c>
      <c r="U22" s="93">
        <f>(L22+O22+R22)/numberDwellingsUK*1000000</f>
        <v>0.1590364204</v>
      </c>
      <c r="V22" s="94">
        <f>(M22+P22+S22)/numberDwellingsUK*1000000</f>
        <v>0.1678717771</v>
      </c>
      <c r="W22" s="95">
        <f>(N22+Q22+T22)/numberDwellingsUK*1000000</f>
        <v>0.1749400624</v>
      </c>
      <c r="X22" s="96">
        <f>(B22*gasPriceP*L22+E22*oilPriceP*O22+H22*electricityPriceDualRateP*R22)/100/SUM(L22,O22,R22)</f>
        <v>44.7160974</v>
      </c>
      <c r="Y22" s="97">
        <f>(C22*gasPriceP*M22+F22*oilPriceP*P22+I22*electricityPriceDualRateP*S22)/100/SUM(M22,P22,S22)</f>
        <v>57.83232547</v>
      </c>
      <c r="Z22" s="98">
        <f>(D22*gasPriceP*N22+G22*oilPriceP*Q22+J22*electricityPriceDualRateP*T22)/100/SUM(N22,Q22,T22)</f>
        <v>65.01195981</v>
      </c>
      <c r="AA22" s="99">
        <f>(B22*L22*carbonGasPerkWh+E22*O22*carbonOilPerkWh + H22*R22*carbonElectricityPerkWh)</f>
        <v>490.5551114</v>
      </c>
      <c r="AB22" s="100">
        <f>(C22*M22*carbonGasPerkWh+F22*P22*carbonOilPerkWh + I22*S22*carbonElectricityPerkWh)</f>
        <v>676.973636</v>
      </c>
      <c r="AC22" s="101">
        <f>(D22*N22*carbonGasPerkWh+G22*Q22*carbonOilPerkWh + J22*T22*carbonElectricityPerkWh)</f>
        <v>793.9275514</v>
      </c>
      <c r="AD22" s="102">
        <f>U22*numberDwellingsUK*B22/1000000000</f>
        <v>2.4178406</v>
      </c>
      <c r="AE22" s="102">
        <f>V22*numberDwellingsUK*C22/1000000000</f>
        <v>3.355624455</v>
      </c>
      <c r="AF22" s="102">
        <f>W22*numberDwellingsUK*D22/1000000000</f>
        <v>3.940184682</v>
      </c>
      <c r="AG22" s="96">
        <f>ROUND(V22*numberDwellingsUK*Y22,-3)</f>
        <v>273329000</v>
      </c>
      <c r="AH22" s="140" t="str">
        <f>'Loft insulation'!T53</f>
        <v>medium</v>
      </c>
      <c r="AI22" s="140" t="s">
        <v>39</v>
      </c>
      <c r="AJ22" s="103" t="s">
        <v>30</v>
      </c>
      <c r="AL22" s="104"/>
      <c r="AM22" s="105"/>
      <c r="AN22" s="105"/>
    </row>
    <row r="23">
      <c r="A23" s="57" t="str">
        <f>'Loft insulation'!A54</f>
        <v>100-150 to 300mm</v>
      </c>
      <c r="B23" s="85">
        <f>ROUND('Loft insulation'!B54,-1)</f>
        <v>370</v>
      </c>
      <c r="C23" s="86">
        <f>ROUND('Loft insulation'!C54,-1)</f>
        <v>440</v>
      </c>
      <c r="D23" s="87">
        <f>ROUND('Loft insulation'!D54,-1)</f>
        <v>490</v>
      </c>
      <c r="E23" s="85">
        <f>ROUND('Loft insulation'!E54,-1)</f>
        <v>600</v>
      </c>
      <c r="F23" s="86">
        <f>ROUND('Loft insulation'!F54,-1)</f>
        <v>700</v>
      </c>
      <c r="G23" s="87">
        <f>ROUND('Loft insulation'!G54,-1)</f>
        <v>790</v>
      </c>
      <c r="H23" s="85">
        <f>ROUND('Loft insulation'!H54,-1)</f>
        <v>310</v>
      </c>
      <c r="I23" s="86">
        <f>ROUND('Loft insulation'!I54,-1)</f>
        <v>350</v>
      </c>
      <c r="J23" s="87">
        <f>ROUND('Loft insulation'!J54,-1)</f>
        <v>390</v>
      </c>
      <c r="K23" s="88">
        <f>'Loft insulation'!N15</f>
        <v>0.038</v>
      </c>
      <c r="L23" s="136">
        <f>'Loft insulation'!K54/1000</f>
        <v>3.314828758</v>
      </c>
      <c r="M23" s="137">
        <f>'Loft insulation'!L54/1000</f>
        <v>3.498985911</v>
      </c>
      <c r="N23" s="138">
        <f>'Loft insulation'!M54/1000</f>
        <v>3.646311634</v>
      </c>
      <c r="O23" s="136">
        <f>'Loft insulation'!N54/1000</f>
        <v>0.2913597438</v>
      </c>
      <c r="P23" s="137">
        <f>'Loft insulation'!O54/1000</f>
        <v>0.3075463962</v>
      </c>
      <c r="Q23" s="138">
        <f>'Loft insulation'!P54/1000</f>
        <v>0.3204957181</v>
      </c>
      <c r="R23" s="136">
        <f>'Loft insulation'!Q54/1000</f>
        <v>0.2020274966</v>
      </c>
      <c r="S23" s="137">
        <f>'Loft insulation'!R54/1000</f>
        <v>0.2132512464</v>
      </c>
      <c r="T23" s="138">
        <f>'Loft insulation'!S54/1000</f>
        <v>0.2222302463</v>
      </c>
      <c r="U23" s="93">
        <f>(L23+O23+R23)/numberDwellingsUK*1000000</f>
        <v>0.1352646331</v>
      </c>
      <c r="V23" s="94">
        <f>(M23+P23+S23)/numberDwellingsUK*1000000</f>
        <v>0.142779335</v>
      </c>
      <c r="W23" s="95">
        <f>(N23+Q23+T23)/numberDwellingsUK*1000000</f>
        <v>0.1487910965</v>
      </c>
      <c r="X23" s="96">
        <f>(B23*gasPriceP*L23+E23*oilPriceP*O23+H23*electricityPriceDualRateP*R23)/100/SUM(L23,O23,R23)</f>
        <v>31.01658995</v>
      </c>
      <c r="Y23" s="97">
        <f>(C23*gasPriceP*M23+F23*oilPriceP*P23+I23*electricityPriceDualRateP*S23)/100/SUM(M23,P23,S23)</f>
        <v>36.52428664</v>
      </c>
      <c r="Z23" s="98">
        <f>(D23*gasPriceP*N23+G23*oilPriceP*Q23+J23*electricityPriceDualRateP*T23)/100/SUM(N23,Q23,T23)</f>
        <v>40.75522846</v>
      </c>
      <c r="AA23" s="99">
        <f>(B23*L23*carbonGasPerkWh+E23*O23*carbonOilPerkWh + H23*R23*carbonElectricityPerkWh)</f>
        <v>285.023754</v>
      </c>
      <c r="AB23" s="100">
        <f>(C23*M23*carbonGasPerkWh+F23*P23*carbonOilPerkWh + I23*S23*carbonElectricityPerkWh)</f>
        <v>355.8839279</v>
      </c>
      <c r="AC23" s="101">
        <f>(D23*N23*carbonGasPerkWh+G23*Q23*carbonOilPerkWh + J23*T23*carbonElectricityPerkWh)</f>
        <v>413.927134</v>
      </c>
      <c r="AD23" s="102">
        <f>U23*numberDwellingsUK*B23/1000000000</f>
        <v>1.409039919</v>
      </c>
      <c r="AE23" s="102">
        <f>V23*numberDwellingsUK*C23/1000000000</f>
        <v>1.768704764</v>
      </c>
      <c r="AF23" s="102">
        <f>W23*numberDwellingsUK*D23/1000000000</f>
        <v>2.052628423</v>
      </c>
      <c r="AG23" s="96">
        <f>ROUND(V23*numberDwellingsUK*Y23,-3)</f>
        <v>146820000</v>
      </c>
      <c r="AH23" s="140" t="str">
        <f>'Loft insulation'!T54</f>
        <v>medium</v>
      </c>
      <c r="AI23" s="140" t="s">
        <v>39</v>
      </c>
      <c r="AJ23" s="103" t="s">
        <v>30</v>
      </c>
      <c r="AL23" s="104"/>
      <c r="AM23" s="105"/>
      <c r="AN23" s="105"/>
    </row>
    <row r="24">
      <c r="A24" s="57" t="str">
        <f>'Loft insulation'!A55</f>
        <v>150-200 to 300mm</v>
      </c>
      <c r="B24" s="85">
        <f>ROUND('Loft insulation'!B55,-1)</f>
        <v>160</v>
      </c>
      <c r="C24" s="86">
        <f>ROUND('Loft insulation'!C55,-1)</f>
        <v>180</v>
      </c>
      <c r="D24" s="87">
        <f>ROUND('Loft insulation'!D55,-1)</f>
        <v>200</v>
      </c>
      <c r="E24" s="85">
        <f>ROUND('Loft insulation'!E55,-1)</f>
        <v>250</v>
      </c>
      <c r="F24" s="86">
        <f>ROUND('Loft insulation'!F55,-1)</f>
        <v>290</v>
      </c>
      <c r="G24" s="87">
        <f>ROUND('Loft insulation'!G55,-1)</f>
        <v>330</v>
      </c>
      <c r="H24" s="85">
        <f>ROUND('Loft insulation'!H55,-1)</f>
        <v>130</v>
      </c>
      <c r="I24" s="86">
        <f>ROUND('Loft insulation'!I55,-1)</f>
        <v>150</v>
      </c>
      <c r="J24" s="87">
        <f>ROUND('Loft insulation'!J55,-1)</f>
        <v>170</v>
      </c>
      <c r="K24" s="88">
        <f>'Loft insulation'!N16</f>
        <v>0.016</v>
      </c>
      <c r="L24" s="136">
        <f>'Loft insulation'!K55/1000</f>
        <v>2.893909049</v>
      </c>
      <c r="M24" s="137">
        <f>'Loft insulation'!L55/1000</f>
        <v>3.054681774</v>
      </c>
      <c r="N24" s="138">
        <f>'Loft insulation'!M55/1000</f>
        <v>3.183299954</v>
      </c>
      <c r="O24" s="136">
        <f>'Loft insulation'!N55/1000</f>
        <v>0.2175594736</v>
      </c>
      <c r="P24" s="137">
        <f>'Loft insulation'!O55/1000</f>
        <v>0.2296461111</v>
      </c>
      <c r="Q24" s="138">
        <f>'Loft insulation'!P55/1000</f>
        <v>0.239315421</v>
      </c>
      <c r="R24" s="136">
        <f>'Loft insulation'!Q55/1000</f>
        <v>0.1677808708</v>
      </c>
      <c r="S24" s="137">
        <f>'Loft insulation'!R55/1000</f>
        <v>0.1771020303</v>
      </c>
      <c r="T24" s="138">
        <f>'Loft insulation'!S55/1000</f>
        <v>0.1845589579</v>
      </c>
      <c r="U24" s="93">
        <f>(L24+O24+R24)/numberDwellingsUK*1000000</f>
        <v>0.1164761837</v>
      </c>
      <c r="V24" s="94">
        <f>(M24+P24+S24)/numberDwellingsUK*1000000</f>
        <v>0.1229470828</v>
      </c>
      <c r="W24" s="95">
        <f>(N24+Q24+T24)/numberDwellingsUK*1000000</f>
        <v>0.1281238021</v>
      </c>
      <c r="X24" s="96">
        <f>(B24*gasPriceP*L24+E24*oilPriceP*O24+H24*electricityPriceDualRateP*R24)/100/SUM(L24,O24,R24)</f>
        <v>13.10921052</v>
      </c>
      <c r="Y24" s="97">
        <f>(C24*gasPriceP*M24+F24*oilPriceP*P24+I24*electricityPriceDualRateP*S24)/100/SUM(M24,P24,S24)</f>
        <v>14.8544541</v>
      </c>
      <c r="Z24" s="98">
        <f>(D24*gasPriceP*N24+G24*oilPriceP*Q24+J24*electricityPriceDualRateP*T24)/100/SUM(N24,Q24,T24)</f>
        <v>16.59969769</v>
      </c>
      <c r="AA24" s="99">
        <f>(B24*L24*carbonGasPerkWh+E24*O24*carbonOilPerkWh + H24*R24*carbonElectricityPerkWh)</f>
        <v>104.1133804</v>
      </c>
      <c r="AB24" s="100">
        <f>(C24*M24*carbonGasPerkWh+F24*P24*carbonOilPerkWh + I24*S24*carbonElectricityPerkWh)</f>
        <v>124.3060199</v>
      </c>
      <c r="AC24" s="101">
        <f>(D24*N24*carbonGasPerkWh+G24*Q24*carbonOilPerkWh + J24*T24*carbonElectricityPerkWh)</f>
        <v>144.5551967</v>
      </c>
      <c r="AD24" s="102">
        <f>U24*numberDwellingsUK*B24/1000000000</f>
        <v>0.524679903</v>
      </c>
      <c r="AE24" s="102">
        <f>V24*numberDwellingsUK*C24/1000000000</f>
        <v>0.6230573848</v>
      </c>
      <c r="AF24" s="102">
        <f>W24*numberDwellingsUK*D24/1000000000</f>
        <v>0.7214348666</v>
      </c>
      <c r="AG24" s="96">
        <f>ROUND(V24*numberDwellingsUK*Y24,-3)</f>
        <v>51418000</v>
      </c>
      <c r="AH24" s="140" t="str">
        <f>'Loft insulation'!T55</f>
        <v>low</v>
      </c>
      <c r="AI24" s="140" t="s">
        <v>39</v>
      </c>
      <c r="AJ24" s="103" t="s">
        <v>30</v>
      </c>
      <c r="AL24" s="104"/>
      <c r="AM24" s="105"/>
      <c r="AN24" s="105"/>
    </row>
    <row r="25">
      <c r="A25" s="152" t="s">
        <v>40</v>
      </c>
      <c r="B25" s="142"/>
      <c r="C25" s="143"/>
      <c r="D25" s="144"/>
      <c r="E25" s="142"/>
      <c r="F25" s="143"/>
      <c r="G25" s="144"/>
      <c r="H25" s="142"/>
      <c r="I25" s="143"/>
      <c r="J25" s="144"/>
      <c r="K25" s="145"/>
      <c r="L25" s="142"/>
      <c r="M25" s="143"/>
      <c r="N25" s="144"/>
      <c r="O25" s="142"/>
      <c r="P25" s="143"/>
      <c r="Q25" s="144"/>
      <c r="R25" s="142"/>
      <c r="S25" s="143"/>
      <c r="T25" s="144"/>
      <c r="U25" s="146"/>
      <c r="W25" s="147"/>
      <c r="X25" s="146"/>
      <c r="Z25" s="147"/>
      <c r="AA25" s="146"/>
      <c r="AC25" s="147"/>
      <c r="AD25" s="146"/>
      <c r="AF25" s="147"/>
      <c r="AG25" s="148"/>
      <c r="AH25" s="149"/>
      <c r="AI25" s="149"/>
      <c r="AJ25" s="153"/>
      <c r="AL25" s="151"/>
    </row>
    <row r="26">
      <c r="A26" s="18" t="s">
        <v>41</v>
      </c>
      <c r="B26" s="85">
        <f>ROUND('Radiator foil'!B89,0)</f>
        <v>6</v>
      </c>
      <c r="C26" s="86">
        <f>ROUND('Radiator foil'!C89,0)</f>
        <v>27</v>
      </c>
      <c r="D26" s="87">
        <f>ROUND('Radiator foil'!D89,0)</f>
        <v>57</v>
      </c>
      <c r="E26" s="85">
        <f>ROUND('Radiator foil'!E89,0)</f>
        <v>11</v>
      </c>
      <c r="F26" s="86">
        <f>ROUND('Radiator foil'!F89,0)</f>
        <v>46</v>
      </c>
      <c r="G26" s="87">
        <f>ROUND('Radiator foil'!G89,0)</f>
        <v>96</v>
      </c>
      <c r="H26" s="85">
        <f>ROUND('Radiator foil'!H89,0)</f>
        <v>0</v>
      </c>
      <c r="I26" s="86">
        <f>ROUND('Radiator foil'!I89,0)</f>
        <v>0</v>
      </c>
      <c r="J26" s="87">
        <f>ROUND('Radiator foil'!J89,0)</f>
        <v>0</v>
      </c>
      <c r="K26" s="88">
        <f>C26/MeanDomesticGasBill</f>
        <v>0.002301065098</v>
      </c>
      <c r="L26" s="136">
        <f>'Radiator foil'!K89/1000</f>
        <v>3.514671092</v>
      </c>
      <c r="M26" s="137">
        <f>'Radiator foil'!L89/1000</f>
        <v>3.905190102</v>
      </c>
      <c r="N26" s="138">
        <f>'Radiator foil'!M89/1000</f>
        <v>4.295709113</v>
      </c>
      <c r="O26" s="136">
        <f>'Radiator foil'!N89/1000</f>
        <v>0.2005548123</v>
      </c>
      <c r="P26" s="137">
        <f>'Radiator foil'!O89/1000</f>
        <v>0.2506935154</v>
      </c>
      <c r="Q26" s="138">
        <f>'Radiator foil'!P89/1000</f>
        <v>0.2757628669</v>
      </c>
      <c r="R26" s="136">
        <f>'Radiator foil'!Q89/1000</f>
        <v>0</v>
      </c>
      <c r="S26" s="137">
        <f>'Radiator foil'!R89/1000</f>
        <v>0</v>
      </c>
      <c r="T26" s="138">
        <f>'Radiator foil'!S89/1000</f>
        <v>0</v>
      </c>
      <c r="U26" s="93">
        <f>(L26+O26+R26)/numberDwellingsUK*1000000</f>
        <v>0.1319617031</v>
      </c>
      <c r="V26" s="94">
        <f>(M26+P26+S26)/numberDwellingsUK*1000000</f>
        <v>0.1476134949</v>
      </c>
      <c r="W26" s="95">
        <f>(N26+Q26+T26)/numberDwellingsUK*1000000</f>
        <v>0.1623748444</v>
      </c>
      <c r="X26" s="96">
        <f>(B26*gasPriceP*L26+E26*oilPriceP*O26+H26*electricityPriceDualRateP*R26)/100/SUM(L26,O26,R26)</f>
        <v>0.4495533066</v>
      </c>
      <c r="Y26" s="97">
        <f>(C26*gasPriceP*M26+F26*oilPriceP*P26+I26*electricityPriceDualRateP*S26)/100/SUM(M26,P26,S26)</f>
        <v>2.02108731</v>
      </c>
      <c r="Z26" s="98">
        <f>(D26*gasPriceP*N26+G26*oilPriceP*Q26+J26*electricityPriceDualRateP*T26)/100/SUM(N26,Q26,T26)</f>
        <v>4.260264025</v>
      </c>
      <c r="AA26" s="99">
        <f>(B26*L26*carbonGasPerkWh+E26*O26*carbonOilPerkWh + H26*R26*carbonElectricityPerkWh)</f>
        <v>4.475844678</v>
      </c>
      <c r="AB26" s="100">
        <f>(C26*M26*carbonGasPerkWh+F26*P26*carbonOilPerkWh + I26*S26*carbonElectricityPerkWh)</f>
        <v>22.51459789</v>
      </c>
      <c r="AC26" s="101">
        <f>(D26*N26*carbonGasPerkWh+G26*Q26*carbonOilPerkWh + J26*T26*carbonElectricityPerkWh)</f>
        <v>52.20117068</v>
      </c>
      <c r="AD26" s="102">
        <f>U26*numberDwellingsUK*B26/1000000000</f>
        <v>0.02229135543</v>
      </c>
      <c r="AE26" s="102">
        <f>V26*numberDwellingsUK*C26/1000000000</f>
        <v>0.1122088577</v>
      </c>
      <c r="AF26" s="102">
        <f>W26*numberDwellingsUK*D26/1000000000</f>
        <v>0.2605739028</v>
      </c>
      <c r="AG26" s="96">
        <f>ROUND(V26*numberDwellingsUK*Y26,-3)</f>
        <v>8399000</v>
      </c>
      <c r="AH26" s="154" t="str">
        <f>'Radiator foil'!T89</f>
        <v>-</v>
      </c>
      <c r="AI26" s="154" t="s">
        <v>29</v>
      </c>
      <c r="AJ26" s="103" t="s">
        <v>28</v>
      </c>
      <c r="AL26" s="104"/>
    </row>
    <row r="27">
      <c r="A27" s="18" t="s">
        <v>42</v>
      </c>
      <c r="B27" s="85">
        <f>ROUND('Radiator foil'!B90,-1)</f>
        <v>10</v>
      </c>
      <c r="C27" s="86">
        <f>ROUND('Radiator foil'!C90,-1)</f>
        <v>50</v>
      </c>
      <c r="D27" s="87">
        <f>ROUND('Radiator foil'!D90,-1)</f>
        <v>100</v>
      </c>
      <c r="E27" s="85">
        <f>ROUND('Radiator foil'!E90,-1)</f>
        <v>20</v>
      </c>
      <c r="F27" s="86">
        <f>ROUND('Radiator foil'!F90,-1)</f>
        <v>80</v>
      </c>
      <c r="G27" s="87">
        <f>ROUND('Radiator foil'!G90,-1)</f>
        <v>170</v>
      </c>
      <c r="H27" s="85">
        <f>ROUND('Radiator foil'!H90,-1)</f>
        <v>0</v>
      </c>
      <c r="I27" s="86">
        <f>ROUND('Radiator foil'!I90,-1)</f>
        <v>0</v>
      </c>
      <c r="J27" s="87">
        <f>ROUND('Radiator foil'!J90,-1)</f>
        <v>0</v>
      </c>
      <c r="K27" s="88">
        <f>C27/MeanDomesticGasBill</f>
        <v>0.004261231664</v>
      </c>
      <c r="L27" s="136">
        <f>'Radiator foil'!K90/1000</f>
        <v>7.659818658</v>
      </c>
      <c r="M27" s="137">
        <f>'Radiator foil'!L90/1000</f>
        <v>9.574773323</v>
      </c>
      <c r="N27" s="138">
        <f>'Radiator foil'!M90/1000</f>
        <v>10.53225066</v>
      </c>
      <c r="O27" s="136">
        <f>'Radiator foil'!N90/1000</f>
        <v>0.4917217386</v>
      </c>
      <c r="P27" s="137">
        <f>'Radiator foil'!O90/1000</f>
        <v>0.6146521733</v>
      </c>
      <c r="Q27" s="138">
        <f>'Radiator foil'!P90/1000</f>
        <v>0.6761173906</v>
      </c>
      <c r="R27" s="136">
        <f>'Radiator foil'!Q90/1000</f>
        <v>0</v>
      </c>
      <c r="S27" s="137">
        <f>'Radiator foil'!R90/1000</f>
        <v>0</v>
      </c>
      <c r="T27" s="138">
        <f>'Radiator foil'!S90/1000</f>
        <v>0</v>
      </c>
      <c r="U27" s="93">
        <f>(L27+O27+R27)/numberDwellingsUK*1000000</f>
        <v>0.2895358671</v>
      </c>
      <c r="V27" s="94">
        <f>(M27+P27+S27)/numberDwellingsUK*1000000</f>
        <v>0.3619198339</v>
      </c>
      <c r="W27" s="95">
        <f>(N27+Q27+T27)/numberDwellingsUK*1000000</f>
        <v>0.3981118173</v>
      </c>
      <c r="X27" s="96">
        <f>(B27*gasPriceP*L27+E27*oilPriceP*O27+H27*electricityPriceDualRateP*R27)/100/SUM(L27,O27,R27)</f>
        <v>0.7658197922</v>
      </c>
      <c r="Y27" s="97">
        <f>(C27*gasPriceP*M27+F27*oilPriceP*P27+I27*electricityPriceDualRateP*S27)/100/SUM(M27,P27,S27)</f>
        <v>3.712533639</v>
      </c>
      <c r="Z27" s="98">
        <f>(D27*gasPriceP*N27+G27*oilPriceP*Q27+J27*electricityPriceDualRateP*T27)/100/SUM(N27,Q27,T27)</f>
        <v>7.483349938</v>
      </c>
      <c r="AA27" s="99">
        <f>(B27*L27*carbonGasPerkWh+E27*O27*carbonOilPerkWh + H27*R27*carbonElectricityPerkWh)</f>
        <v>16.74936372</v>
      </c>
      <c r="AB27" s="100">
        <f>(C27*M27*carbonGasPerkWh+F27*P27*carbonOilPerkWh + I27*S27*carbonElectricityPerkWh)</f>
        <v>101.3644015</v>
      </c>
      <c r="AC27" s="101">
        <f>(D27*N27*carbonGasPerkWh+G27*Q27*carbonOilPerkWh + J27*T27*carbonElectricityPerkWh)</f>
        <v>224.8272003</v>
      </c>
      <c r="AD27" s="102">
        <f>U27*numberDwellingsUK*B27/1000000000</f>
        <v>0.08151540397</v>
      </c>
      <c r="AE27" s="102">
        <f>V27*numberDwellingsUK*C27/1000000000</f>
        <v>0.5094712748</v>
      </c>
      <c r="AF27" s="102">
        <f>W27*numberDwellingsUK*D27/1000000000</f>
        <v>1.120836805</v>
      </c>
      <c r="AG27" s="96">
        <f>ROUND(V27*numberDwellingsUK*Y27,-3)</f>
        <v>37829000</v>
      </c>
      <c r="AH27" s="154" t="str">
        <f>'Radiator foil'!T90</f>
        <v>-</v>
      </c>
      <c r="AI27" s="154" t="s">
        <v>29</v>
      </c>
      <c r="AJ27" s="103" t="s">
        <v>28</v>
      </c>
      <c r="AL27" s="104"/>
    </row>
    <row r="28">
      <c r="A28" s="18" t="s">
        <v>43</v>
      </c>
      <c r="B28" s="85">
        <f>ROUND('Radiator foil'!B91,-1)</f>
        <v>20</v>
      </c>
      <c r="C28" s="86">
        <f>ROUND('Radiator foil'!C91,-1)</f>
        <v>100</v>
      </c>
      <c r="D28" s="87">
        <f>ROUND('Radiator foil'!D91,-1)</f>
        <v>210</v>
      </c>
      <c r="E28" s="85">
        <f>ROUND('Radiator foil'!E91,-1)</f>
        <v>40</v>
      </c>
      <c r="F28" s="86">
        <f>ROUND('Radiator foil'!F91,-1)</f>
        <v>170</v>
      </c>
      <c r="G28" s="87">
        <f>ROUND('Radiator foil'!G91,-1)</f>
        <v>350</v>
      </c>
      <c r="H28" s="85">
        <f>ROUND('Radiator foil'!H91,-1)</f>
        <v>0</v>
      </c>
      <c r="I28" s="86">
        <f>ROUND('Radiator foil'!I91,-1)</f>
        <v>0</v>
      </c>
      <c r="J28" s="87">
        <f>ROUND('Radiator foil'!J91,-1)</f>
        <v>0</v>
      </c>
      <c r="K28" s="88">
        <f>C28/MeanDomesticGasBill</f>
        <v>0.008522463327</v>
      </c>
      <c r="L28" s="136">
        <f>'Radiator foil'!K91/1000</f>
        <v>8.036222524</v>
      </c>
      <c r="M28" s="137">
        <f>'Radiator foil'!L91/1000</f>
        <v>10.04527815</v>
      </c>
      <c r="N28" s="138">
        <f>'Radiator foil'!M91/1000</f>
        <v>11.04980597</v>
      </c>
      <c r="O28" s="136">
        <f>'Radiator foil'!N91/1000</f>
        <v>0.515884969</v>
      </c>
      <c r="P28" s="137">
        <f>'Radiator foil'!O91/1000</f>
        <v>0.6448562113</v>
      </c>
      <c r="Q28" s="138">
        <f>'Radiator foil'!P91/1000</f>
        <v>0.7093418324</v>
      </c>
      <c r="R28" s="136">
        <f>'Radiator foil'!Q91/1000</f>
        <v>0</v>
      </c>
      <c r="S28" s="137">
        <f>'Radiator foil'!R91/1000</f>
        <v>0</v>
      </c>
      <c r="T28" s="138">
        <f>'Radiator foil'!S91/1000</f>
        <v>0</v>
      </c>
      <c r="U28" s="93">
        <f>(L28+O28+R28)/numberDwellingsUK*1000000</f>
        <v>0.3037636739</v>
      </c>
      <c r="V28" s="94">
        <f>(M28+P28+S28)/numberDwellingsUK*1000000</f>
        <v>0.3797045923</v>
      </c>
      <c r="W28" s="95">
        <f>(N28+Q28+T28)/numberDwellingsUK*1000000</f>
        <v>0.4176750516</v>
      </c>
      <c r="X28" s="96">
        <f>(B28*gasPriceP*L28+E28*oilPriceP*O28+H28*electricityPriceDualRateP*R28)/100/SUM(L28,O28,R28)</f>
        <v>1.531639584</v>
      </c>
      <c r="Y28" s="97">
        <f>(C28*gasPriceP*M28+F28*oilPriceP*P28+I28*electricityPriceDualRateP*S28)/100/SUM(M28,P28,S28)</f>
        <v>7.483349938</v>
      </c>
      <c r="Z28" s="98">
        <f>(D28*gasPriceP*N28+G28*oilPriceP*Q28+J28*electricityPriceDualRateP*T28)/100/SUM(N28,Q28,T28)</f>
        <v>15.67423701</v>
      </c>
      <c r="AA28" s="99">
        <f>(B28*L28*carbonGasPerkWh+E28*O28*carbonOilPerkWh + H28*R28*carbonElectricityPerkWh)</f>
        <v>35.14485655</v>
      </c>
      <c r="AB28" s="100">
        <f>(C28*M28*carbonGasPerkWh+F28*P28*carbonOilPerkWh + I28*S28*carbonElectricityPerkWh)</f>
        <v>214.4320181</v>
      </c>
      <c r="AC28" s="101">
        <f>(D28*N28*carbonGasPerkWh+G28*Q28*carbonOilPerkWh + J28*T28*carbonElectricityPerkWh)</f>
        <v>493.9973059</v>
      </c>
      <c r="AD28" s="102">
        <f>U28*numberDwellingsUK*B28/1000000000</f>
        <v>0.1710421499</v>
      </c>
      <c r="AE28" s="102">
        <f>V28*numberDwellingsUK*C28/1000000000</f>
        <v>1.069013437</v>
      </c>
      <c r="AF28" s="102">
        <f>W28*numberDwellingsUK*D28/1000000000</f>
        <v>2.469421039</v>
      </c>
      <c r="AG28" s="96">
        <f>ROUND(V28*numberDwellingsUK*Y28,-3)</f>
        <v>79998000</v>
      </c>
      <c r="AH28" s="154" t="str">
        <f>'Radiator foil'!T91</f>
        <v>-</v>
      </c>
      <c r="AI28" s="154" t="s">
        <v>29</v>
      </c>
      <c r="AJ28" s="103" t="s">
        <v>28</v>
      </c>
      <c r="AL28" s="104"/>
    </row>
    <row r="29">
      <c r="A29" s="155" t="s">
        <v>44</v>
      </c>
      <c r="B29" s="85">
        <f>ROUND('Smart thermostats &amp; compensn'!B44,-1)</f>
        <v>50</v>
      </c>
      <c r="C29" s="86">
        <f>ROUND('Smart thermostats &amp; compensn'!C44,-1)</f>
        <v>480</v>
      </c>
      <c r="D29" s="87">
        <f>ROUND('Smart thermostats &amp; compensn'!D44,-1)</f>
        <v>770</v>
      </c>
      <c r="E29" s="85">
        <f>ROUND('Smart thermostats &amp; compensn'!E44,-1)</f>
        <v>0</v>
      </c>
      <c r="F29" s="86">
        <f>ROUND('Smart thermostats &amp; compensn'!F44,-1)</f>
        <v>0</v>
      </c>
      <c r="G29" s="87">
        <f>ROUND('Smart thermostats &amp; compensn'!G44,-1)</f>
        <v>0</v>
      </c>
      <c r="H29" s="85">
        <f>ROUND('Smart thermostats &amp; compensn'!H44,-1)</f>
        <v>0</v>
      </c>
      <c r="I29" s="86">
        <f>ROUND('Smart thermostats &amp; compensn'!I44,-1)</f>
        <v>0</v>
      </c>
      <c r="J29" s="87">
        <f>ROUND('Smart thermostats &amp; compensn'!J44,-1)</f>
        <v>0</v>
      </c>
      <c r="K29" s="88">
        <f>C29/MeanDomesticGasBill</f>
        <v>0.04090782397</v>
      </c>
      <c r="L29" s="136">
        <f>'Smart thermostats &amp; compensn'!K44/1000</f>
        <v>13.87989253</v>
      </c>
      <c r="M29" s="137">
        <f>'Smart thermostats &amp; compensn'!L44/1000</f>
        <v>16.93817394</v>
      </c>
      <c r="N29" s="138">
        <f>'Smart thermostats &amp; compensn'!M44/1000</f>
        <v>18.82019326</v>
      </c>
      <c r="O29" s="136">
        <f>'Smart thermostats &amp; compensn'!N44/1000</f>
        <v>0</v>
      </c>
      <c r="P29" s="137">
        <f>'Smart thermostats &amp; compensn'!O44/1000</f>
        <v>0</v>
      </c>
      <c r="Q29" s="138">
        <f>'Smart thermostats &amp; compensn'!P44/1000</f>
        <v>0</v>
      </c>
      <c r="R29" s="136">
        <f>'Smart thermostats &amp; compensn'!Q44/1000</f>
        <v>0</v>
      </c>
      <c r="S29" s="137">
        <f>'Smart thermostats &amp; compensn'!R44/1000</f>
        <v>0</v>
      </c>
      <c r="T29" s="138">
        <f>'Smart thermostats &amp; compensn'!S44/1000</f>
        <v>0</v>
      </c>
      <c r="U29" s="93">
        <f>(L29+O29+R29)/numberDwellingsUK*1000000</f>
        <v>0.4930021228</v>
      </c>
      <c r="V29" s="94">
        <f>(M29+P29+S29)/numberDwellingsUK*1000000</f>
        <v>0.6016297092</v>
      </c>
      <c r="W29" s="95">
        <f>(N29+Q29+T29)/numberDwellingsUK*1000000</f>
        <v>0.6684774547</v>
      </c>
      <c r="X29" s="96">
        <f>(B29*gasPriceP*L29+E29*oilPriceP*O29+H29*electricityPriceDualRateP*R29)/100/SUM(L29,O29,R29)</f>
        <v>3.454666667</v>
      </c>
      <c r="Y29" s="97">
        <f>(C29*gasPriceP*M29+F29*oilPriceP*P29+I29*electricityPriceDualRateP*S29)/100/SUM(M29,P29,S29)</f>
        <v>33.1648</v>
      </c>
      <c r="Z29" s="98">
        <f>(D29*gasPriceP*N29+G29*oilPriceP*Q29+J29*electricityPriceDualRateP*T29)/100/SUM(N29,Q29,T29)</f>
        <v>53.20186667</v>
      </c>
      <c r="AA29" s="99">
        <f>(B29*L29*carbonGasPerkWh+E29*O29*carbonOilPerkWh + H29*R29*carbonElectricityPerkWh)</f>
        <v>127.6950113</v>
      </c>
      <c r="AB29" s="100">
        <f>(C29*M29*carbonGasPerkWh+F29*P29*carbonOilPerkWh + I29*S29*carbonElectricityPerkWh)</f>
        <v>1495.979522</v>
      </c>
      <c r="AC29" s="101">
        <f>(D29*N29*carbonGasPerkWh+G29*Q29*carbonOilPerkWh + J29*T29*carbonElectricityPerkWh)</f>
        <v>2666.444982</v>
      </c>
      <c r="AD29" s="102">
        <f>U29*numberDwellingsUK*B29/1000000000</f>
        <v>0.6939946266</v>
      </c>
      <c r="AE29" s="102">
        <f>V29*numberDwellingsUK*C29/1000000000</f>
        <v>8.13032349</v>
      </c>
      <c r="AF29" s="102">
        <f>W29*numberDwellingsUK*D29/1000000000</f>
        <v>14.49154881</v>
      </c>
      <c r="AG29" s="96">
        <f>ROUND(V29*numberDwellingsUK*Y29,-3)</f>
        <v>561751000</v>
      </c>
      <c r="AH29" s="140" t="str">
        <f>'Smart thermostats &amp; compensn'!T44</f>
        <v>-</v>
      </c>
      <c r="AI29" s="140" t="s">
        <v>27</v>
      </c>
      <c r="AJ29" s="103" t="s">
        <v>28</v>
      </c>
      <c r="AL29" s="104"/>
    </row>
    <row r="30">
      <c r="A30" s="155" t="s">
        <v>45</v>
      </c>
      <c r="B30" s="85">
        <f>ROUND('Smart thermostats &amp; compensn'!B45,-1)</f>
        <v>130</v>
      </c>
      <c r="C30" s="86">
        <f>ROUND('Smart thermostats &amp; compensn'!C45,-1)</f>
        <v>290</v>
      </c>
      <c r="D30" s="87">
        <f>ROUND('Smart thermostats &amp; compensn'!D45,-1)</f>
        <v>480</v>
      </c>
      <c r="E30" s="85">
        <f>ROUND('Smart thermostats &amp; compensn'!E45,-1)</f>
        <v>0</v>
      </c>
      <c r="F30" s="86">
        <f>ROUND('Smart thermostats &amp; compensn'!F45,-1)</f>
        <v>0</v>
      </c>
      <c r="G30" s="87">
        <f>ROUND('Smart thermostats &amp; compensn'!G45,-1)</f>
        <v>0</v>
      </c>
      <c r="H30" s="85">
        <f>ROUND('Smart thermostats &amp; compensn'!H45,-1)</f>
        <v>0</v>
      </c>
      <c r="I30" s="86">
        <f>ROUND('Smart thermostats &amp; compensn'!I45,-1)</f>
        <v>0</v>
      </c>
      <c r="J30" s="87">
        <f>ROUND('Smart thermostats &amp; compensn'!J45,-1)</f>
        <v>0</v>
      </c>
      <c r="K30" s="88">
        <f>C30/MeanDomesticGasBill</f>
        <v>0.02471514365</v>
      </c>
      <c r="L30" s="136">
        <f>'Smart thermostats &amp; compensn'!K45/1000</f>
        <v>13.87989253</v>
      </c>
      <c r="M30" s="137">
        <f>'Smart thermostats &amp; compensn'!L45/1000</f>
        <v>16.93817394</v>
      </c>
      <c r="N30" s="138">
        <f>'Smart thermostats &amp; compensn'!M45/1000</f>
        <v>18.82019326</v>
      </c>
      <c r="O30" s="136">
        <f>'Smart thermostats &amp; compensn'!N45/1000</f>
        <v>0</v>
      </c>
      <c r="P30" s="137">
        <f>'Smart thermostats &amp; compensn'!O45/1000</f>
        <v>0</v>
      </c>
      <c r="Q30" s="138">
        <f>'Smart thermostats &amp; compensn'!P45/1000</f>
        <v>0</v>
      </c>
      <c r="R30" s="136">
        <f>'Smart thermostats &amp; compensn'!Q45/1000</f>
        <v>0</v>
      </c>
      <c r="S30" s="137">
        <f>'Smart thermostats &amp; compensn'!R45/1000</f>
        <v>0</v>
      </c>
      <c r="T30" s="138">
        <f>'Smart thermostats &amp; compensn'!S45/1000</f>
        <v>0</v>
      </c>
      <c r="U30" s="93">
        <f>(L30+O30+R30)/numberDwellingsUK*1000000</f>
        <v>0.4930021228</v>
      </c>
      <c r="V30" s="94">
        <f>(M30+P30+S30)/numberDwellingsUK*1000000</f>
        <v>0.6016297092</v>
      </c>
      <c r="W30" s="95">
        <f>(N30+Q30+T30)/numberDwellingsUK*1000000</f>
        <v>0.6684774547</v>
      </c>
      <c r="X30" s="96">
        <f>(B30*gasPriceP*L30+E30*oilPriceP*O30+H30*electricityPriceDualRateP*R30)/100/SUM(L30,O30,R30)</f>
        <v>8.982133333</v>
      </c>
      <c r="Y30" s="97">
        <f>(C30*gasPriceP*M30+F30*oilPriceP*P30+I30*electricityPriceDualRateP*S30)/100/SUM(M30,P30,S30)</f>
        <v>20.03706667</v>
      </c>
      <c r="Z30" s="98">
        <f>(D30*gasPriceP*N30+G30*oilPriceP*Q30+J30*electricityPriceDualRateP*T30)/100/SUM(N30,Q30,T30)</f>
        <v>33.1648</v>
      </c>
      <c r="AA30" s="99">
        <f>(B30*L30*carbonGasPerkWh+E30*O30*carbonOilPerkWh + H30*R30*carbonElectricityPerkWh)</f>
        <v>332.0070294</v>
      </c>
      <c r="AB30" s="100">
        <f>(C30*M30*carbonGasPerkWh+F30*P30*carbonOilPerkWh + I30*S30*carbonElectricityPerkWh)</f>
        <v>903.8209613</v>
      </c>
      <c r="AC30" s="101">
        <f>(D30*N30*carbonGasPerkWh+G30*Q30*carbonOilPerkWh + J30*T30*carbonElectricityPerkWh)</f>
        <v>1662.199469</v>
      </c>
      <c r="AD30" s="102">
        <f>U30*numberDwellingsUK*B30/1000000000</f>
        <v>1.804386029</v>
      </c>
      <c r="AE30" s="102">
        <f>V30*numberDwellingsUK*C30/1000000000</f>
        <v>4.912070442</v>
      </c>
      <c r="AF30" s="102">
        <f>W30*numberDwellingsUK*D30/1000000000</f>
        <v>9.033692767</v>
      </c>
      <c r="AG30" s="96">
        <f>ROUND(V30*numberDwellingsUK*Y30,-3)</f>
        <v>339391000</v>
      </c>
      <c r="AH30" s="140" t="str">
        <f>'Smart thermostats &amp; compensn'!T45</f>
        <v>-</v>
      </c>
      <c r="AI30" s="140" t="s">
        <v>27</v>
      </c>
      <c r="AJ30" s="103" t="s">
        <v>28</v>
      </c>
      <c r="AL30" s="151"/>
    </row>
    <row r="31">
      <c r="A31" s="155" t="s">
        <v>46</v>
      </c>
      <c r="B31" s="85">
        <f>ROUND('Smart thermostats &amp; compensn'!B46,-1)</f>
        <v>290</v>
      </c>
      <c r="C31" s="86">
        <f>ROUND('Smart thermostats &amp; compensn'!C46,-1)</f>
        <v>620</v>
      </c>
      <c r="D31" s="87">
        <f>ROUND('Smart thermostats &amp; compensn'!D46,-1)</f>
        <v>960</v>
      </c>
      <c r="E31" s="85">
        <f>ROUND('Smart thermostats &amp; compensn'!E46,-1)</f>
        <v>0</v>
      </c>
      <c r="F31" s="86">
        <f>ROUND('Smart thermostats &amp; compensn'!F46,-1)</f>
        <v>0</v>
      </c>
      <c r="G31" s="87">
        <f>ROUND('Smart thermostats &amp; compensn'!G46,-1)</f>
        <v>0</v>
      </c>
      <c r="H31" s="85">
        <f>ROUND('Smart thermostats &amp; compensn'!H46,-1)</f>
        <v>0</v>
      </c>
      <c r="I31" s="86">
        <f>ROUND('Smart thermostats &amp; compensn'!I46,-1)</f>
        <v>0</v>
      </c>
      <c r="J31" s="87">
        <f>ROUND('Smart thermostats &amp; compensn'!J46,-1)</f>
        <v>0</v>
      </c>
      <c r="K31" s="88">
        <f>C31/MeanDomesticGasBill</f>
        <v>0.05283927263</v>
      </c>
      <c r="L31" s="136">
        <f>'Smart thermostats &amp; compensn'!K46/1000</f>
        <v>13.87989253</v>
      </c>
      <c r="M31" s="137">
        <f>'Smart thermostats &amp; compensn'!L46/1000</f>
        <v>16.93817394</v>
      </c>
      <c r="N31" s="138">
        <f>'Smart thermostats &amp; compensn'!M46/1000</f>
        <v>18.82019326</v>
      </c>
      <c r="O31" s="136">
        <f>'Smart thermostats &amp; compensn'!N46/1000</f>
        <v>0</v>
      </c>
      <c r="P31" s="137">
        <f>'Smart thermostats &amp; compensn'!O46/1000</f>
        <v>0</v>
      </c>
      <c r="Q31" s="138">
        <f>'Smart thermostats &amp; compensn'!P46/1000</f>
        <v>0</v>
      </c>
      <c r="R31" s="136">
        <f>'Smart thermostats &amp; compensn'!Q46/1000</f>
        <v>0</v>
      </c>
      <c r="S31" s="137">
        <f>'Smart thermostats &amp; compensn'!R46/1000</f>
        <v>0</v>
      </c>
      <c r="T31" s="138">
        <f>'Smart thermostats &amp; compensn'!S46/1000</f>
        <v>0</v>
      </c>
      <c r="U31" s="93">
        <f>(L31+O31+R31)/numberDwellingsUK*1000000</f>
        <v>0.4930021228</v>
      </c>
      <c r="V31" s="94">
        <f>(M31+P31+S31)/numberDwellingsUK*1000000</f>
        <v>0.6016297092</v>
      </c>
      <c r="W31" s="95">
        <f>(N31+Q31+T31)/numberDwellingsUK*1000000</f>
        <v>0.6684774547</v>
      </c>
      <c r="X31" s="96">
        <f>(B31*gasPriceP*L31+E31*oilPriceP*O31+H31*electricityPriceDualRateP*R31)/100/SUM(L31,O31,R31)</f>
        <v>20.03706667</v>
      </c>
      <c r="Y31" s="97">
        <f>(C31*gasPriceP*M31+F31*oilPriceP*P31+I31*electricityPriceDualRateP*S31)/100/SUM(M31,P31,S31)</f>
        <v>42.83786667</v>
      </c>
      <c r="Z31" s="98">
        <f>(D31*gasPriceP*N31+G31*oilPriceP*Q31+J31*electricityPriceDualRateP*T31)/100/SUM(N31,Q31,T31)</f>
        <v>66.3296</v>
      </c>
      <c r="AA31" s="99">
        <f>(B31*L31*carbonGasPerkWh+E31*O31*carbonOilPerkWh + H31*R31*carbonElectricityPerkWh)</f>
        <v>740.6310655</v>
      </c>
      <c r="AB31" s="100">
        <f>(C31*M31*carbonGasPerkWh+F31*P31*carbonOilPerkWh + I31*S31*carbonElectricityPerkWh)</f>
        <v>1932.306883</v>
      </c>
      <c r="AC31" s="101">
        <f>(D31*N31*carbonGasPerkWh+G31*Q31*carbonOilPerkWh + J31*T31*carbonElectricityPerkWh)</f>
        <v>3324.398938</v>
      </c>
      <c r="AD31" s="102">
        <f>U31*numberDwellingsUK*B31/1000000000</f>
        <v>4.025168834</v>
      </c>
      <c r="AE31" s="102">
        <f>V31*numberDwellingsUK*C31/1000000000</f>
        <v>10.50166784</v>
      </c>
      <c r="AF31" s="102">
        <f>W31*numberDwellingsUK*D31/1000000000</f>
        <v>18.06738553</v>
      </c>
      <c r="AG31" s="96">
        <f>ROUND(V31*numberDwellingsUK*Y31,-3)</f>
        <v>725595000</v>
      </c>
      <c r="AH31" s="140" t="str">
        <f>'Smart thermostats &amp; compensn'!T46</f>
        <v>low</v>
      </c>
      <c r="AI31" s="140" t="s">
        <v>27</v>
      </c>
      <c r="AJ31" s="103" t="s">
        <v>28</v>
      </c>
      <c r="AL31" s="151"/>
    </row>
    <row r="32" ht="47.25" customHeight="1">
      <c r="A32" s="68" t="str">
        <f>TRVs!A40</f>
        <v>Starting from all rooms at the same temperature, adjust TRVs to 3°C cooler outside the living room</v>
      </c>
      <c r="B32" s="85">
        <f>ROUND(TRVs!B40,-1)</f>
        <v>820</v>
      </c>
      <c r="C32" s="86">
        <f>ROUND(TRVs!C40,-1)</f>
        <v>1270</v>
      </c>
      <c r="D32" s="87">
        <f>ROUND(TRVs!D40,-1)</f>
        <v>1720</v>
      </c>
      <c r="E32" s="85">
        <f>ROUND(TRVs!E40,-1)</f>
        <v>1370</v>
      </c>
      <c r="F32" s="86">
        <f>ROUND(TRVs!F40,-1)</f>
        <v>2130</v>
      </c>
      <c r="G32" s="87">
        <f>ROUND(TRVs!G40,-1)</f>
        <v>2880</v>
      </c>
      <c r="H32" s="85">
        <f>ROUND(TRVs!H40,-1)</f>
        <v>0</v>
      </c>
      <c r="I32" s="86">
        <f>ROUND(TRVs!I40,-1)</f>
        <v>0</v>
      </c>
      <c r="J32" s="87">
        <f>ROUND(TRVs!J40,-1)</f>
        <v>0</v>
      </c>
      <c r="K32" s="156">
        <f>C32/MeanDomesticGasBill</f>
        <v>0.1082352843</v>
      </c>
      <c r="L32" s="136">
        <f>TRVs!K40/1000</f>
        <v>3.764038653</v>
      </c>
      <c r="M32" s="137">
        <f>TRVs!L40/1000</f>
        <v>3.293533821</v>
      </c>
      <c r="N32" s="138">
        <f>TRVs!M40/1000</f>
        <v>2.82302899</v>
      </c>
      <c r="O32" s="136">
        <f>TRVs!N40/1000</f>
        <v>0.241632304</v>
      </c>
      <c r="P32" s="137">
        <f>TRVs!O40/1000</f>
        <v>0.211428266</v>
      </c>
      <c r="Q32" s="138">
        <f>TRVs!P40/1000</f>
        <v>0.181224228</v>
      </c>
      <c r="R32" s="136">
        <f>TRVs!Q40/1000</f>
        <v>0</v>
      </c>
      <c r="S32" s="137">
        <f>TRVs!R40/1000</f>
        <v>0</v>
      </c>
      <c r="T32" s="138">
        <f>TRVs!S40/1000</f>
        <v>0</v>
      </c>
      <c r="U32" s="93">
        <f>(L32+O32+R32)/numberDwellingsUK*1000000</f>
        <v>0.1422780674</v>
      </c>
      <c r="V32" s="94">
        <f>(M32+P32+S32)/numberDwellingsUK*1000000</f>
        <v>0.124493309</v>
      </c>
      <c r="W32" s="95">
        <f>(N32+Q32+T32)/numberDwellingsUK*1000000</f>
        <v>0.1067085505</v>
      </c>
      <c r="X32" s="96">
        <f>(B32*gasPriceP*L32+E32*oilPriceP*O32+H32*electricityPriceDualRateP*R32)/100/SUM(L32,O32,R32)</f>
        <v>61.22359111</v>
      </c>
      <c r="Y32" s="97">
        <f>(C32*gasPriceP*M32+F32*oilPriceP*P32+I32*electricityPriceDualRateP*S32)/100/SUM(M32,P32,S32)</f>
        <v>94.8695245</v>
      </c>
      <c r="Z32" s="98">
        <f>(D32*gasPriceP*N32+G32*oilPriceP*Q32+J32*electricityPriceDualRateP*T32)/100/SUM(N32,Q32,T32)</f>
        <v>128.4571752</v>
      </c>
      <c r="AA32" s="99">
        <f>(B32*L32*carbonGasPerkWh+E32*O32*carbonOilPerkWh + H32*R32*carbonElectricityPerkWh)</f>
        <v>657.2979412</v>
      </c>
      <c r="AB32" s="100">
        <f>(C32*M32*carbonGasPerkWh+F32*P32*carbonOilPerkWh + I32*S32*carbonElectricityPerkWh)</f>
        <v>891.2253791</v>
      </c>
      <c r="AC32" s="101">
        <f>(D32*N32*carbonGasPerkWh+G32*Q32*carbonOilPerkWh + J32*T32*carbonElectricityPerkWh)</f>
        <v>1034.352174</v>
      </c>
      <c r="AD32" s="102">
        <f>U32*numberDwellingsUK*B32/1000000000</f>
        <v>3.284650185</v>
      </c>
      <c r="AE32" s="102">
        <f>V32*numberDwellingsUK*C32/1000000000</f>
        <v>4.451301851</v>
      </c>
      <c r="AF32" s="102">
        <f>W32*numberDwellingsUK*D32/1000000000</f>
        <v>5.167315534</v>
      </c>
      <c r="AG32" s="96">
        <f>ROUND(V32*numberDwellingsUK*Y32,-3)</f>
        <v>332514000</v>
      </c>
      <c r="AH32" s="154" t="str">
        <f>TRVs!T40</f>
        <v>-</v>
      </c>
      <c r="AI32" s="154" t="s">
        <v>29</v>
      </c>
      <c r="AJ32" s="103" t="s">
        <v>28</v>
      </c>
      <c r="AL32" s="104"/>
    </row>
    <row r="33" ht="36.0" customHeight="1">
      <c r="A33" s="157" t="str">
        <f>TRVs!A41</f>
        <v>Readjusting existing TRVs outside the living room to 1.5°C cooler than before</v>
      </c>
      <c r="B33" s="116">
        <f>ROUND(TRVs!B41,-1)</f>
        <v>0</v>
      </c>
      <c r="C33" s="117">
        <f>ROUND(TRVs!C41,-1)</f>
        <v>640</v>
      </c>
      <c r="D33" s="118">
        <f>ROUND(TRVs!D41,-1)</f>
        <v>1270</v>
      </c>
      <c r="E33" s="116">
        <f>ROUND(TRVs!E41,-1)</f>
        <v>0</v>
      </c>
      <c r="F33" s="117">
        <f>ROUND(TRVs!F41,-1)</f>
        <v>1060</v>
      </c>
      <c r="G33" s="118">
        <f>ROUND(TRVs!G41,-1)</f>
        <v>2130</v>
      </c>
      <c r="H33" s="116">
        <f>ROUND(TRVs!H41,-1)</f>
        <v>0</v>
      </c>
      <c r="I33" s="117">
        <f>ROUND(TRVs!I41,-1)</f>
        <v>0</v>
      </c>
      <c r="J33" s="118">
        <f>ROUND(TRVs!J41,-1)</f>
        <v>0</v>
      </c>
      <c r="K33" s="158">
        <f>C33/MeanDomesticGasBill</f>
        <v>0.05454376529</v>
      </c>
      <c r="L33" s="159">
        <f>TRVs!K41/1000</f>
        <v>19.76120293</v>
      </c>
      <c r="M33" s="160">
        <f>TRVs!L41/1000</f>
        <v>20.23170776</v>
      </c>
      <c r="N33" s="161">
        <f>TRVs!M41/1000</f>
        <v>20.70221259</v>
      </c>
      <c r="O33" s="159">
        <f>TRVs!N41/1000</f>
        <v>1.268569596</v>
      </c>
      <c r="P33" s="160">
        <f>TRVs!O41/1000</f>
        <v>1.298773634</v>
      </c>
      <c r="Q33" s="161">
        <f>TRVs!P41/1000</f>
        <v>1.328977672</v>
      </c>
      <c r="R33" s="159">
        <f>TRVs!Q41/1000</f>
        <v>0</v>
      </c>
      <c r="S33" s="160">
        <f>TRVs!R41/1000</f>
        <v>0</v>
      </c>
      <c r="T33" s="161">
        <f>TRVs!S41/1000</f>
        <v>0</v>
      </c>
      <c r="U33" s="162">
        <f>(L33+O33+R33)/numberDwellingsUK*1000000</f>
        <v>0.7469598538</v>
      </c>
      <c r="V33" s="163">
        <f>(M33+P33+S33)/numberDwellingsUK*1000000</f>
        <v>0.7647446122</v>
      </c>
      <c r="W33" s="164">
        <f>(N33+Q33+T33)/numberDwellingsUK*1000000</f>
        <v>0.7825293706</v>
      </c>
      <c r="X33" s="165">
        <f>(B33*gasPriceP*L33+E33*oilPriceP*O33+H33*electricityPriceDualRateP*R33)/100/SUM(L33,O33,R33)</f>
        <v>0</v>
      </c>
      <c r="Y33" s="166">
        <f>(C33*gasPriceP*M33+F33*oilPriceP*P33+I33*electricityPriceDualRateP*S33)/100/SUM(M33,P33,S33)</f>
        <v>47.73024815</v>
      </c>
      <c r="Z33" s="167">
        <f>(D33*gasPriceP*N33+G33*oilPriceP*Q33+J33*electricityPriceDualRateP*T33)/100/SUM(N33,Q33,T33)</f>
        <v>94.8695245</v>
      </c>
      <c r="AA33" s="168">
        <f>(B33*L33*carbonGasPerkWh+E33*O33*carbonOilPerkWh + H33*R33*carbonElectricityPerkWh)</f>
        <v>0</v>
      </c>
      <c r="AB33" s="169">
        <f>(C33*M33*carbonGasPerkWh+F33*P33*carbonOilPerkWh + I33*S33*carbonElectricityPerkWh)</f>
        <v>2754.19492</v>
      </c>
      <c r="AC33" s="170">
        <f>(D33*N33*carbonGasPerkWh+G33*Q33*carbonOilPerkWh + J33*T33*carbonElectricityPerkWh)</f>
        <v>5601.988097</v>
      </c>
      <c r="AD33" s="171">
        <f>U33*numberDwellingsUK*B33/1000000000</f>
        <v>0</v>
      </c>
      <c r="AE33" s="171">
        <f>V33*numberDwellingsUK*C33/1000000000</f>
        <v>13.77950809</v>
      </c>
      <c r="AF33" s="172">
        <f>W33*numberDwellingsUK*D33/1000000000</f>
        <v>27.97961163</v>
      </c>
      <c r="AG33" s="173">
        <f>ROUND(V33*numberDwellingsUK*Y33,-3)</f>
        <v>1027655000</v>
      </c>
      <c r="AH33" s="174" t="str">
        <f>TRVs!T41</f>
        <v>-</v>
      </c>
      <c r="AI33" s="174" t="s">
        <v>29</v>
      </c>
      <c r="AJ33" s="175" t="s">
        <v>28</v>
      </c>
      <c r="AL33" s="104"/>
    </row>
    <row r="34">
      <c r="B34" s="143"/>
      <c r="C34" s="143"/>
      <c r="D34" s="143"/>
      <c r="E34" s="143"/>
      <c r="F34" s="143"/>
      <c r="G34" s="143"/>
      <c r="H34" s="143"/>
      <c r="I34" s="143"/>
      <c r="J34" s="143"/>
      <c r="K34" s="143"/>
      <c r="L34" s="143"/>
      <c r="M34" s="143"/>
      <c r="N34" s="143"/>
      <c r="O34" s="143"/>
      <c r="P34" s="143"/>
      <c r="Q34" s="143"/>
      <c r="R34" s="143"/>
      <c r="S34" s="143"/>
      <c r="T34" s="143"/>
    </row>
    <row r="35" ht="32.25" customHeight="1">
      <c r="A35" s="176" t="s">
        <v>47</v>
      </c>
      <c r="B35" s="14"/>
      <c r="C35" s="14"/>
      <c r="D35" s="14"/>
      <c r="E35" s="14"/>
      <c r="F35" s="14"/>
      <c r="G35" s="14"/>
      <c r="H35" s="14"/>
      <c r="I35" s="14"/>
      <c r="J35" s="14"/>
      <c r="K35" s="14"/>
      <c r="L35" s="14"/>
      <c r="M35" s="14"/>
      <c r="N35" s="14"/>
      <c r="O35" s="14"/>
      <c r="P35" s="14"/>
      <c r="Q35" s="14"/>
      <c r="R35" s="14"/>
      <c r="S35" s="14"/>
      <c r="T35" s="14"/>
      <c r="U35" s="14"/>
      <c r="V35" s="14"/>
      <c r="W35" s="14"/>
      <c r="X35" s="14"/>
      <c r="Y35" s="14"/>
      <c r="Z35" s="15"/>
    </row>
  </sheetData>
  <mergeCells count="9">
    <mergeCell ref="B15:J15"/>
    <mergeCell ref="A35:Z35"/>
    <mergeCell ref="B2:J2"/>
    <mergeCell ref="L2:T2"/>
    <mergeCell ref="U2:W2"/>
    <mergeCell ref="X2:Z2"/>
    <mergeCell ref="AA2:AC2"/>
    <mergeCell ref="AD2:AF2"/>
    <mergeCell ref="U15:AH15"/>
  </mergeCells>
  <printOptions/>
  <pageMargins bottom="0.75" footer="0.0" header="0.0" left="0.7" right="0.7" top="0.75"/>
  <pageSetup paperSize="9" orientation="portrait"/>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2.44"/>
    <col customWidth="1" min="2" max="26" width="10.44"/>
  </cols>
  <sheetData>
    <row r="1">
      <c r="A1" s="217" t="s">
        <v>900</v>
      </c>
    </row>
    <row r="2">
      <c r="A2" s="217" t="s">
        <v>901</v>
      </c>
      <c r="B2" s="217" t="s">
        <v>902</v>
      </c>
    </row>
    <row r="3">
      <c r="B3" s="217" t="s">
        <v>903</v>
      </c>
    </row>
    <row r="4">
      <c r="B4" s="217" t="s">
        <v>904</v>
      </c>
    </row>
    <row r="5">
      <c r="B5" s="217" t="s">
        <v>905</v>
      </c>
    </row>
    <row r="6">
      <c r="B6" s="217" t="s">
        <v>906</v>
      </c>
    </row>
    <row r="7"/>
    <row r="8">
      <c r="A8" s="217" t="s">
        <v>907</v>
      </c>
      <c r="B8" s="217" t="s">
        <v>908</v>
      </c>
    </row>
    <row r="9">
      <c r="B9" s="217" t="s">
        <v>909</v>
      </c>
    </row>
    <row r="10">
      <c r="B10" s="217" t="s">
        <v>910</v>
      </c>
    </row>
    <row r="11">
      <c r="B11" s="217" t="s">
        <v>911</v>
      </c>
    </row>
    <row r="12"/>
    <row r="13">
      <c r="A13" s="217" t="s">
        <v>912</v>
      </c>
      <c r="B13" s="217" t="s">
        <v>913</v>
      </c>
    </row>
    <row r="14">
      <c r="B14" s="217" t="s">
        <v>914</v>
      </c>
    </row>
    <row r="15"/>
    <row r="16">
      <c r="A16" s="217" t="s">
        <v>915</v>
      </c>
      <c r="B16" s="217" t="s">
        <v>916</v>
      </c>
    </row>
    <row r="17">
      <c r="A17" s="217" t="s">
        <v>917</v>
      </c>
      <c r="B17" s="217" t="s">
        <v>916</v>
      </c>
    </row>
    <row r="18">
      <c r="A18" s="217" t="s">
        <v>918</v>
      </c>
      <c r="B18" s="217" t="s">
        <v>919</v>
      </c>
    </row>
    <row r="19">
      <c r="B19" s="217" t="s">
        <v>920</v>
      </c>
    </row>
    <row r="20">
      <c r="A20" s="217" t="s">
        <v>921</v>
      </c>
      <c r="B20" s="217" t="s">
        <v>922</v>
      </c>
    </row>
    <row r="21">
      <c r="B21" s="217" t="s">
        <v>923</v>
      </c>
    </row>
    <row r="22">
      <c r="B22" s="217" t="s">
        <v>924</v>
      </c>
    </row>
    <row r="23">
      <c r="A23" s="217" t="s">
        <v>925</v>
      </c>
      <c r="B23" s="217" t="s">
        <v>926</v>
      </c>
    </row>
    <row r="24">
      <c r="B24" s="217" t="s">
        <v>927</v>
      </c>
    </row>
    <row r="25">
      <c r="B25" s="217" t="s">
        <v>928</v>
      </c>
    </row>
    <row r="26">
      <c r="B26" s="217" t="s">
        <v>929</v>
      </c>
    </row>
    <row r="27">
      <c r="B27" s="217" t="s">
        <v>930</v>
      </c>
    </row>
    <row r="28">
      <c r="A28" s="217" t="s">
        <v>931</v>
      </c>
      <c r="B28" s="217" t="s">
        <v>932</v>
      </c>
    </row>
    <row r="29">
      <c r="B29" s="217" t="s">
        <v>933</v>
      </c>
    </row>
    <row r="30">
      <c r="B30" s="217" t="s">
        <v>934</v>
      </c>
    </row>
    <row r="31">
      <c r="B31" s="217" t="s">
        <v>935</v>
      </c>
    </row>
    <row r="32">
      <c r="B32" s="217" t="s">
        <v>936</v>
      </c>
    </row>
    <row r="33">
      <c r="B33" s="217" t="s">
        <v>937</v>
      </c>
    </row>
    <row r="34">
      <c r="B34" s="217" t="s">
        <v>938</v>
      </c>
    </row>
    <row r="35">
      <c r="B35" s="217" t="s">
        <v>939</v>
      </c>
    </row>
    <row r="36">
      <c r="B36" s="217" t="s">
        <v>940</v>
      </c>
    </row>
    <row r="37">
      <c r="A37" s="217" t="s">
        <v>941</v>
      </c>
      <c r="B37" s="217" t="s">
        <v>942</v>
      </c>
    </row>
    <row r="38">
      <c r="B38" s="217" t="s">
        <v>943</v>
      </c>
    </row>
    <row r="39">
      <c r="B39" s="217" t="s">
        <v>944</v>
      </c>
    </row>
    <row r="40">
      <c r="A40" s="217" t="s">
        <v>945</v>
      </c>
      <c r="B40" s="217" t="s">
        <v>946</v>
      </c>
    </row>
    <row r="41">
      <c r="B41" s="217" t="s">
        <v>947</v>
      </c>
    </row>
    <row r="43">
      <c r="A43" s="217" t="s">
        <v>948</v>
      </c>
      <c r="D43" s="217" t="s">
        <v>949</v>
      </c>
    </row>
    <row r="44">
      <c r="A44" s="217" t="s">
        <v>950</v>
      </c>
      <c r="D44" s="217" t="s">
        <v>951</v>
      </c>
    </row>
    <row r="45">
      <c r="A45" s="217" t="s">
        <v>952</v>
      </c>
      <c r="D45" s="217" t="s">
        <v>953</v>
      </c>
    </row>
    <row r="46">
      <c r="A46" s="217" t="s">
        <v>954</v>
      </c>
      <c r="D46" s="217" t="s">
        <v>955</v>
      </c>
    </row>
    <row r="47">
      <c r="A47" s="217" t="s">
        <v>956</v>
      </c>
      <c r="D47" s="217" t="s">
        <v>951</v>
      </c>
    </row>
    <row r="48">
      <c r="A48" s="217" t="s">
        <v>31</v>
      </c>
      <c r="D48" s="217" t="s">
        <v>951</v>
      </c>
    </row>
    <row r="49">
      <c r="A49" s="217" t="s">
        <v>957</v>
      </c>
      <c r="D49" s="217" t="s">
        <v>951</v>
      </c>
    </row>
    <row r="50">
      <c r="A50" s="217" t="s">
        <v>958</v>
      </c>
      <c r="D50" s="217" t="s">
        <v>951</v>
      </c>
      <c r="E50" s="217" t="s">
        <v>959</v>
      </c>
    </row>
    <row r="51">
      <c r="A51" s="217" t="s">
        <v>960</v>
      </c>
      <c r="D51" s="217" t="s">
        <v>951</v>
      </c>
      <c r="E51" s="217" t="s">
        <v>961</v>
      </c>
    </row>
    <row r="52">
      <c r="A52" s="217" t="s">
        <v>962</v>
      </c>
      <c r="D52" s="217" t="s">
        <v>953</v>
      </c>
      <c r="E52" s="217" t="s">
        <v>963</v>
      </c>
    </row>
    <row r="53">
      <c r="A53" s="217" t="s">
        <v>964</v>
      </c>
      <c r="D53" s="217" t="s">
        <v>953</v>
      </c>
      <c r="E53" s="217" t="s">
        <v>963</v>
      </c>
    </row>
    <row r="54">
      <c r="A54" s="217" t="s">
        <v>965</v>
      </c>
      <c r="D54" s="217" t="s">
        <v>953</v>
      </c>
      <c r="E54" s="217" t="s">
        <v>963</v>
      </c>
    </row>
    <row r="55">
      <c r="A55" s="217" t="s">
        <v>966</v>
      </c>
      <c r="D55" s="217" t="s">
        <v>951</v>
      </c>
    </row>
    <row r="57">
      <c r="A57" s="217" t="s">
        <v>967</v>
      </c>
      <c r="B57" s="217" t="s">
        <v>968</v>
      </c>
    </row>
    <row r="58">
      <c r="B58" s="217" t="s">
        <v>969</v>
      </c>
    </row>
    <row r="59">
      <c r="B59" s="217" t="s">
        <v>970</v>
      </c>
    </row>
    <row r="60">
      <c r="B60" s="217" t="s">
        <v>971</v>
      </c>
    </row>
    <row r="61">
      <c r="B61" s="217" t="s">
        <v>972</v>
      </c>
    </row>
    <row r="64">
      <c r="A64" s="185" t="s">
        <v>973</v>
      </c>
    </row>
    <row r="65">
      <c r="A65" s="217" t="s">
        <v>974</v>
      </c>
      <c r="B65" s="185" t="s">
        <v>975</v>
      </c>
      <c r="C65" s="185" t="s">
        <v>976</v>
      </c>
      <c r="D65" s="185" t="s">
        <v>977</v>
      </c>
    </row>
    <row r="66">
      <c r="A66" s="217">
        <v>13.0</v>
      </c>
      <c r="B66" s="217" t="s">
        <v>978</v>
      </c>
      <c r="C66" s="217">
        <v>18.0</v>
      </c>
      <c r="D66" s="217" t="s">
        <v>979</v>
      </c>
    </row>
    <row r="67">
      <c r="A67" s="217">
        <v>13.0</v>
      </c>
      <c r="B67" s="217" t="s">
        <v>978</v>
      </c>
      <c r="C67" s="217">
        <v>37.0</v>
      </c>
      <c r="D67" s="217" t="s">
        <v>980</v>
      </c>
    </row>
    <row r="68">
      <c r="A68" s="217">
        <v>13.0</v>
      </c>
      <c r="B68" s="217" t="s">
        <v>978</v>
      </c>
      <c r="C68" s="217">
        <v>43.0</v>
      </c>
      <c r="D68" s="217" t="s">
        <v>980</v>
      </c>
    </row>
    <row r="69">
      <c r="A69" s="217">
        <v>13.0</v>
      </c>
      <c r="B69" s="217" t="s">
        <v>981</v>
      </c>
      <c r="C69" s="217">
        <v>58.0</v>
      </c>
      <c r="D69" s="217" t="s">
        <v>982</v>
      </c>
    </row>
    <row r="70">
      <c r="A70" s="217">
        <v>14.0</v>
      </c>
      <c r="B70" s="217" t="s">
        <v>983</v>
      </c>
      <c r="C70" s="217">
        <v>56.0</v>
      </c>
      <c r="D70" s="217" t="s">
        <v>984</v>
      </c>
    </row>
    <row r="71">
      <c r="A71" s="217">
        <v>14.0</v>
      </c>
      <c r="B71" s="217" t="s">
        <v>985</v>
      </c>
      <c r="D71" s="217" t="s">
        <v>986</v>
      </c>
    </row>
    <row r="72">
      <c r="A72" s="217">
        <v>14.0</v>
      </c>
      <c r="B72" s="217" t="s">
        <v>987</v>
      </c>
      <c r="D72" s="217" t="s">
        <v>988</v>
      </c>
    </row>
    <row r="73">
      <c r="A73" s="217">
        <v>15.0</v>
      </c>
      <c r="B73" s="217" t="s">
        <v>989</v>
      </c>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52.67"/>
    <col customWidth="1" min="2" max="2" width="10.44"/>
    <col customWidth="1" min="3" max="4" width="11.33"/>
    <col customWidth="1" min="5" max="26" width="10.44"/>
  </cols>
  <sheetData>
    <row r="1">
      <c r="A1" s="152" t="s">
        <v>48</v>
      </c>
      <c r="B1" s="18"/>
      <c r="C1" s="18"/>
      <c r="D1" s="18"/>
      <c r="E1" s="18"/>
      <c r="F1" s="18"/>
      <c r="G1" s="18"/>
      <c r="H1" s="18"/>
    </row>
    <row r="2">
      <c r="A2" s="18"/>
      <c r="B2" s="18"/>
      <c r="C2" s="18"/>
      <c r="D2" s="18"/>
      <c r="E2" s="18"/>
      <c r="F2" s="18"/>
      <c r="G2" s="18"/>
      <c r="H2" s="18"/>
    </row>
    <row r="3"/>
    <row r="4">
      <c r="A4" s="152"/>
      <c r="B4" s="177" t="s">
        <v>49</v>
      </c>
      <c r="C4" s="178"/>
      <c r="D4" s="179"/>
      <c r="E4" s="180"/>
      <c r="F4" s="181" t="s">
        <v>50</v>
      </c>
      <c r="G4" s="178"/>
      <c r="H4" s="179"/>
    </row>
    <row r="5">
      <c r="A5" s="152"/>
      <c r="B5" s="182" t="s">
        <v>24</v>
      </c>
      <c r="C5" s="183" t="s">
        <v>25</v>
      </c>
      <c r="D5" s="184" t="s">
        <v>26</v>
      </c>
      <c r="E5" s="182"/>
      <c r="F5" s="183" t="s">
        <v>24</v>
      </c>
      <c r="G5" s="183" t="s">
        <v>25</v>
      </c>
      <c r="H5" s="184" t="s">
        <v>26</v>
      </c>
    </row>
    <row r="6">
      <c r="A6" s="185" t="s">
        <v>51</v>
      </c>
      <c r="B6" s="186"/>
      <c r="C6" s="143"/>
      <c r="D6" s="143"/>
      <c r="E6" s="186"/>
      <c r="F6" s="143"/>
      <c r="G6" s="143"/>
      <c r="H6" s="186"/>
    </row>
    <row r="7">
      <c r="A7" s="187" t="s">
        <v>52</v>
      </c>
      <c r="B7" s="188">
        <f t="array" ref="B7">INDEX(Summary!B$5:B$33,MATCH($J7,Summary!$A$5:$A$33,0))</f>
        <v>860</v>
      </c>
      <c r="C7" s="189">
        <f t="array" ref="C7">INDEX(Summary!C$5:C$33,MATCH($J7,Summary!$A$5:$A$33,0))</f>
        <v>1330</v>
      </c>
      <c r="D7" s="190">
        <f t="array" ref="D7">INDEX(Summary!D$5:D$33,MATCH($J7,Summary!$A$5:$A$33,0))</f>
        <v>1460</v>
      </c>
      <c r="E7" s="188" t="str">
        <f t="array" ref="E7">INDEX(Summary!AJ$5:AJ$33,MATCH($J7,Summary!$A$5:$A$33,0))</f>
        <v>Multiply</v>
      </c>
      <c r="F7" s="191">
        <f>IF($E7="Multiply",(1-B7/MeanDomesticGasBill),1)</f>
        <v>0.9267068154</v>
      </c>
      <c r="G7" s="191">
        <f>IF($E7="Multiply",(1-C7/MeanDomesticGasBill),1)</f>
        <v>0.8866512378</v>
      </c>
      <c r="H7" s="192">
        <f>IF($E7="Multiply",(1-D7/MeanDomesticGasBill),1)</f>
        <v>0.8755720354</v>
      </c>
      <c r="J7" s="193" t="s">
        <v>53</v>
      </c>
    </row>
    <row r="8">
      <c r="A8" s="194" t="s">
        <v>54</v>
      </c>
      <c r="B8" s="195">
        <f t="array" ref="B8">INDEX(Summary!B$5:B$33,MATCH($J8,Summary!$A$5:$A$33,0))</f>
        <v>30</v>
      </c>
      <c r="C8" s="196">
        <f t="array" ref="C8">INDEX(Summary!C$5:C$33,MATCH($J8,Summary!$A$5:$A$33,0))</f>
        <v>90</v>
      </c>
      <c r="D8" s="197">
        <f t="array" ref="D8">INDEX(Summary!D$5:D$33,MATCH($J8,Summary!$A$5:$A$33,0))</f>
        <v>180</v>
      </c>
      <c r="E8" s="195" t="str">
        <f t="array" ref="E8">INDEX(Summary!AJ$5:AJ$33,MATCH($J8,Summary!$A$5:$A$33,0))</f>
        <v>Add</v>
      </c>
      <c r="F8" s="198">
        <f>IF($E8="Multiply",(1-B8/MeanDomesticGasBill),1)</f>
        <v>1</v>
      </c>
      <c r="G8" s="198">
        <f>IF($E8="Multiply",(1-C8/MeanDomesticGasBill),1)</f>
        <v>1</v>
      </c>
      <c r="H8" s="199">
        <f>IF($E8="Multiply",(1-D8/MeanDomesticGasBill),1)</f>
        <v>1</v>
      </c>
      <c r="J8" s="193" t="s">
        <v>34</v>
      </c>
    </row>
    <row r="9">
      <c r="A9" s="194" t="s">
        <v>55</v>
      </c>
      <c r="B9" s="195">
        <f t="array" ref="B9">INDEX(Summary!B$5:B$33,MATCH($J9,Summary!$A$5:$A$33,0))</f>
        <v>2.573529412</v>
      </c>
      <c r="C9" s="196">
        <f t="array" ref="C9">INDEX(Summary!C$5:C$33,MATCH($J9,Summary!$A$5:$A$33,0))</f>
        <v>92.64705882</v>
      </c>
      <c r="D9" s="197">
        <f t="array" ref="D9">INDEX(Summary!D$5:D$33,MATCH($J9,Summary!$A$5:$A$33,0))</f>
        <v>466.6666667</v>
      </c>
      <c r="E9" s="195" t="str">
        <f t="array" ref="E9">INDEX(Summary!AJ$5:AJ$33,MATCH($J9,Summary!$A$5:$A$33,0))</f>
        <v>Add</v>
      </c>
      <c r="F9" s="198">
        <f>IF($E9="Multiply",(1-B9/MeanDomesticGasBill),1)</f>
        <v>1</v>
      </c>
      <c r="G9" s="198">
        <f>IF($E9="Multiply",(1-C9/MeanDomesticGasBill),1)</f>
        <v>1</v>
      </c>
      <c r="H9" s="199">
        <f>IF($E9="Multiply",(1-D9/MeanDomesticGasBill),1)</f>
        <v>1</v>
      </c>
      <c r="J9" s="193" t="s">
        <v>55</v>
      </c>
    </row>
    <row r="10">
      <c r="A10" s="200" t="s">
        <v>56</v>
      </c>
      <c r="B10" s="195">
        <f t="array" ref="B10">INDEX(Summary!B$5:B$33,MATCH($J10,Summary!$A$5:$A$33,0))</f>
        <v>0</v>
      </c>
      <c r="C10" s="196">
        <f t="array" ref="C10">INDEX(Summary!C$5:C$33,MATCH($J10,Summary!$A$5:$A$33,0))</f>
        <v>640</v>
      </c>
      <c r="D10" s="197">
        <f t="array" ref="D10">INDEX(Summary!D$5:D$33,MATCH($J10,Summary!$A$5:$A$33,0))</f>
        <v>1270</v>
      </c>
      <c r="E10" s="195" t="str">
        <f t="array" ref="E10">INDEX(Summary!AJ$5:AJ$33,MATCH($J10,Summary!$A$5:$A$33,0))</f>
        <v>Multiply</v>
      </c>
      <c r="F10" s="198">
        <f>IF($E10="Multiply",(1-B10/MeanDomesticGasBill),1)</f>
        <v>1</v>
      </c>
      <c r="G10" s="198">
        <f>IF($E10="Multiply",(1-C10/MeanDomesticGasBill),1)</f>
        <v>0.9454562347</v>
      </c>
      <c r="H10" s="199">
        <f>IF($E10="Multiply",(1-D10/MeanDomesticGasBill),1)</f>
        <v>0.8917647157</v>
      </c>
      <c r="J10" s="193" t="s">
        <v>56</v>
      </c>
    </row>
    <row r="11">
      <c r="A11" s="146"/>
      <c r="B11" s="142"/>
      <c r="C11" s="143"/>
      <c r="D11" s="144"/>
      <c r="E11" s="142"/>
      <c r="F11" s="143"/>
      <c r="G11" s="143"/>
      <c r="H11" s="144"/>
    </row>
    <row r="12">
      <c r="A12" s="146" t="s">
        <v>57</v>
      </c>
      <c r="B12" s="201">
        <f t="shared" ref="B12:D12" si="1">SUMIFS(B7:B10,$E7:$E10,"Add")</f>
        <v>32.57352941</v>
      </c>
      <c r="C12" s="202">
        <f t="shared" si="1"/>
        <v>182.6470588</v>
      </c>
      <c r="D12" s="203">
        <f t="shared" si="1"/>
        <v>646.6666667</v>
      </c>
      <c r="E12" s="204" t="s">
        <v>58</v>
      </c>
      <c r="F12" s="143"/>
      <c r="G12" s="143"/>
      <c r="H12" s="144"/>
    </row>
    <row r="13">
      <c r="A13" s="146" t="s">
        <v>59</v>
      </c>
      <c r="B13" s="205">
        <f>1-B12/MeanDomesticGasBill</f>
        <v>0.9972239329</v>
      </c>
      <c r="C13" s="206">
        <f>1-C12/MeanDomesticGasBill</f>
        <v>0.9844339714</v>
      </c>
      <c r="D13" s="207">
        <f>1-D12/MeanDomesticGasBill</f>
        <v>0.9448880705</v>
      </c>
      <c r="E13" s="142"/>
      <c r="F13" s="143"/>
      <c r="G13" s="143"/>
      <c r="H13" s="144"/>
    </row>
    <row r="14">
      <c r="A14" s="146" t="s">
        <v>60</v>
      </c>
      <c r="B14" s="205">
        <f t="shared" ref="B14:D14" si="2">PRODUCT(B13,F7:F10)</f>
        <v>0.9241342151</v>
      </c>
      <c r="C14" s="206">
        <f t="shared" si="2"/>
        <v>0.8252410955</v>
      </c>
      <c r="D14" s="207">
        <f t="shared" si="2"/>
        <v>0.7377726186</v>
      </c>
      <c r="E14" s="142"/>
      <c r="F14" s="143"/>
      <c r="G14" s="143"/>
      <c r="H14" s="144"/>
    </row>
    <row r="15">
      <c r="A15" s="208" t="s">
        <v>61</v>
      </c>
      <c r="B15" s="209">
        <f t="shared" ref="B15:D15" si="3">1-B14</f>
        <v>0.07586578491</v>
      </c>
      <c r="C15" s="210">
        <f t="shared" si="3"/>
        <v>0.1747589045</v>
      </c>
      <c r="D15" s="210">
        <f t="shared" si="3"/>
        <v>0.2622273814</v>
      </c>
      <c r="E15" s="204" t="s">
        <v>62</v>
      </c>
      <c r="F15" s="143"/>
      <c r="G15" s="143"/>
      <c r="H15" s="144"/>
    </row>
    <row r="16">
      <c r="A16" s="211" t="s">
        <v>61</v>
      </c>
      <c r="B16" s="212">
        <f>ROUND(MeanDomesticGasBill*(1-B14)*gasPriceP/100,-1)</f>
        <v>60</v>
      </c>
      <c r="C16" s="213">
        <f>ROUND(MeanDomesticGasBill*(1-C14)*gasPriceP/100,-1)</f>
        <v>140</v>
      </c>
      <c r="D16" s="214">
        <f>ROUND(MeanDomesticGasBill*(1-D14)*gasPriceP/100,-1)</f>
        <v>210</v>
      </c>
      <c r="E16" s="215" t="s">
        <v>63</v>
      </c>
      <c r="F16" s="186"/>
      <c r="G16" s="186"/>
      <c r="H16" s="216"/>
    </row>
    <row r="17"/>
    <row r="18">
      <c r="A18" s="185" t="s">
        <v>64</v>
      </c>
      <c r="C18" s="185"/>
    </row>
    <row r="19">
      <c r="A19" s="187" t="s">
        <v>65</v>
      </c>
      <c r="B19" s="188">
        <f t="array" ref="B19">INDEX(Summary!B$5:B$33,MATCH($J19,Summary!$A$5:$A$33,0))</f>
        <v>80</v>
      </c>
      <c r="C19" s="189">
        <f t="array" ref="C19">INDEX(Summary!C$5:C$33,MATCH($J19,Summary!$A$5:$A$33,0))</f>
        <v>230</v>
      </c>
      <c r="D19" s="190">
        <f t="array" ref="D19">INDEX(Summary!D$5:D$33,MATCH($J19,Summary!$A$5:$A$33,0))</f>
        <v>390</v>
      </c>
      <c r="E19" s="189" t="str">
        <f t="array" ref="E19">INDEX(Summary!AJ$5:AJ$33,MATCH($J19,Summary!$A$5:$A$33,0))</f>
        <v>Add</v>
      </c>
      <c r="F19" s="191">
        <f>IF($E19="Multiply",(1-B19/MeanDomesticGasBill),1)</f>
        <v>1</v>
      </c>
      <c r="G19" s="191">
        <f>IF($E19="Multiply",(1-C19/MeanDomesticGasBill),1)</f>
        <v>1</v>
      </c>
      <c r="H19" s="192">
        <f>IF($E19="Multiply",(1-D19/MeanDomesticGasBill),1)</f>
        <v>1</v>
      </c>
      <c r="J19" s="193" t="s">
        <v>65</v>
      </c>
    </row>
    <row r="20">
      <c r="A20" s="194" t="s">
        <v>54</v>
      </c>
      <c r="B20" s="195">
        <f t="array" ref="B20">INDEX(Summary!B$5:B$33,MATCH($J20,Summary!$A$5:$A$33,0))</f>
        <v>30</v>
      </c>
      <c r="C20" s="196">
        <f t="array" ref="C20">INDEX(Summary!C$5:C$33,MATCH($J20,Summary!$A$5:$A$33,0))</f>
        <v>90</v>
      </c>
      <c r="D20" s="197">
        <f t="array" ref="D20">INDEX(Summary!D$5:D$33,MATCH($J20,Summary!$A$5:$A$33,0))</f>
        <v>180</v>
      </c>
      <c r="E20" s="196" t="str">
        <f t="array" ref="E20">INDEX(Summary!AJ$5:AJ$33,MATCH($J20,Summary!$A$5:$A$33,0))</f>
        <v>Add</v>
      </c>
      <c r="F20" s="198">
        <f>IF($E20="Multiply",(1-B20/MeanDomesticGasBill),1)</f>
        <v>1</v>
      </c>
      <c r="G20" s="198">
        <f>IF($E20="Multiply",(1-C20/MeanDomesticGasBill),1)</f>
        <v>1</v>
      </c>
      <c r="H20" s="199">
        <f>IF($E20="Multiply",(1-D20/MeanDomesticGasBill),1)</f>
        <v>1</v>
      </c>
      <c r="J20" s="193" t="s">
        <v>34</v>
      </c>
    </row>
    <row r="21">
      <c r="A21" s="200" t="s">
        <v>56</v>
      </c>
      <c r="B21" s="195">
        <f t="array" ref="B21">INDEX(Summary!B$5:B$33,MATCH($J21,Summary!$A$5:$A$33,0))</f>
        <v>0</v>
      </c>
      <c r="C21" s="196">
        <f t="array" ref="C21">INDEX(Summary!C$5:C$33,MATCH($J21,Summary!$A$5:$A$33,0))</f>
        <v>640</v>
      </c>
      <c r="D21" s="197">
        <f t="array" ref="D21">INDEX(Summary!D$5:D$33,MATCH($J21,Summary!$A$5:$A$33,0))</f>
        <v>1270</v>
      </c>
      <c r="E21" s="196" t="str">
        <f t="array" ref="E21">INDEX(Summary!AJ$5:AJ$33,MATCH($J21,Summary!$A$5:$A$33,0))</f>
        <v>Multiply</v>
      </c>
      <c r="F21" s="198">
        <f>IF($E21="Multiply",(1-B21/MeanDomesticGasBill),1)</f>
        <v>1</v>
      </c>
      <c r="G21" s="198">
        <f>IF($E21="Multiply",(1-C21/MeanDomesticGasBill),1)</f>
        <v>0.9454562347</v>
      </c>
      <c r="H21" s="199">
        <f>IF($E21="Multiply",(1-D21/MeanDomesticGasBill),1)</f>
        <v>0.8917647157</v>
      </c>
      <c r="J21" s="193" t="s">
        <v>56</v>
      </c>
    </row>
    <row r="22">
      <c r="A22" s="146"/>
      <c r="B22" s="146"/>
      <c r="D22" s="147"/>
      <c r="H22" s="147"/>
    </row>
    <row r="23">
      <c r="A23" s="146" t="s">
        <v>57</v>
      </c>
      <c r="B23" s="201">
        <f t="shared" ref="B23:D23" si="4">SUMIFS(B19:B21,$E19:$E21,"Add")</f>
        <v>110</v>
      </c>
      <c r="C23" s="202">
        <f t="shared" si="4"/>
        <v>320</v>
      </c>
      <c r="D23" s="203">
        <f t="shared" si="4"/>
        <v>570</v>
      </c>
      <c r="E23" s="217" t="s">
        <v>58</v>
      </c>
      <c r="H23" s="147"/>
    </row>
    <row r="24">
      <c r="A24" s="146" t="s">
        <v>66</v>
      </c>
      <c r="B24" s="205">
        <f>1-B23/MeanDomesticGasBill</f>
        <v>0.9906252903</v>
      </c>
      <c r="C24" s="206">
        <f>1-C23/MeanDomesticGasBill</f>
        <v>0.9727281174</v>
      </c>
      <c r="D24" s="207">
        <f>1-D23/MeanDomesticGasBill</f>
        <v>0.951421959</v>
      </c>
      <c r="H24" s="147"/>
    </row>
    <row r="25">
      <c r="A25" s="146" t="s">
        <v>60</v>
      </c>
      <c r="B25" s="205">
        <f t="shared" ref="B25:D25" si="5">PRODUCT(B24,F19:F21)</f>
        <v>0.9906252903</v>
      </c>
      <c r="C25" s="206">
        <f t="shared" si="5"/>
        <v>0.9196718632</v>
      </c>
      <c r="D25" s="207">
        <f t="shared" si="5"/>
        <v>0.8484445329</v>
      </c>
      <c r="H25" s="147"/>
    </row>
    <row r="26">
      <c r="A26" s="208" t="s">
        <v>61</v>
      </c>
      <c r="B26" s="209">
        <f t="shared" ref="B26:D26" si="6">1-B25</f>
        <v>0.00937470966</v>
      </c>
      <c r="C26" s="210">
        <f t="shared" si="6"/>
        <v>0.08032813677</v>
      </c>
      <c r="D26" s="210">
        <f t="shared" si="6"/>
        <v>0.1515554671</v>
      </c>
      <c r="E26" s="204" t="s">
        <v>62</v>
      </c>
      <c r="F26" s="143"/>
      <c r="G26" s="143"/>
      <c r="H26" s="144"/>
    </row>
    <row r="27">
      <c r="A27" s="218" t="s">
        <v>67</v>
      </c>
      <c r="B27" s="212">
        <f>ROUND(MeanDomesticGasBill*(1-B25)*gasPriceP/100,-1)</f>
        <v>10</v>
      </c>
      <c r="C27" s="213">
        <f>ROUND(MeanDomesticGasBill*(1-C25)*gasPriceP/100,-1)</f>
        <v>70</v>
      </c>
      <c r="D27" s="214">
        <f>ROUND(MeanDomesticGasBill*(1-D25)*gasPriceP/100,-1)</f>
        <v>120</v>
      </c>
      <c r="E27" s="219" t="s">
        <v>63</v>
      </c>
      <c r="F27" s="219"/>
      <c r="G27" s="219"/>
      <c r="H27" s="220"/>
    </row>
    <row r="29">
      <c r="A29" s="221" t="s">
        <v>68</v>
      </c>
      <c r="B29" s="143"/>
      <c r="C29" s="143"/>
      <c r="D29" s="143"/>
      <c r="E29" s="186"/>
      <c r="F29" s="143"/>
      <c r="G29" s="143"/>
      <c r="H29" s="143"/>
    </row>
    <row r="30">
      <c r="A30" s="187" t="s">
        <v>69</v>
      </c>
      <c r="B30" s="188">
        <f t="array" ref="B30">INDEX(Summary!B$5:B$33,MATCH($J30,Summary!$A$5:$A$33,0))</f>
        <v>540</v>
      </c>
      <c r="C30" s="189">
        <f t="array" ref="C30">INDEX(Summary!C$5:C$33,MATCH($J30,Summary!$A$5:$A$33,0))</f>
        <v>710</v>
      </c>
      <c r="D30" s="190">
        <f t="array" ref="D30">INDEX(Summary!D$5:D$33,MATCH($J30,Summary!$A$5:$A$33,0))</f>
        <v>800</v>
      </c>
      <c r="E30" s="188" t="str">
        <f t="array" ref="E30">INDEX(Summary!AJ$5:AJ$33,MATCH($J30,Summary!$A$5:$A$33,0))</f>
        <v>Add</v>
      </c>
      <c r="F30" s="191">
        <f>IF($E30="Multiply",(1-B30/MeanDomesticGasBill),1)</f>
        <v>1</v>
      </c>
      <c r="G30" s="191">
        <f>IF($E30="Multiply",(1-C30/MeanDomesticGasBill),1)</f>
        <v>1</v>
      </c>
      <c r="H30" s="192">
        <f>IF($E30="Multiply",(1-D30/MeanDomesticGasBill),1)</f>
        <v>1</v>
      </c>
      <c r="J30" s="193" t="s">
        <v>38</v>
      </c>
    </row>
    <row r="31">
      <c r="A31" s="194" t="s">
        <v>70</v>
      </c>
      <c r="B31" s="195">
        <f t="array" ref="B31">INDEX(Summary!B$5:B$33,MATCH($J31,Summary!$A$5:$A$33,0))</f>
        <v>290</v>
      </c>
      <c r="C31" s="196">
        <f t="array" ref="C31">INDEX(Summary!C$5:C$33,MATCH($J31,Summary!$A$5:$A$33,0))</f>
        <v>620</v>
      </c>
      <c r="D31" s="197">
        <f t="array" ref="D31">INDEX(Summary!D$5:D$33,MATCH($J31,Summary!$A$5:$A$33,0))</f>
        <v>960</v>
      </c>
      <c r="E31" s="195" t="str">
        <f t="array" ref="E31">INDEX(Summary!AJ$5:AJ$33,MATCH($J31,Summary!$A$5:$A$33,0))</f>
        <v>Multiply</v>
      </c>
      <c r="F31" s="198">
        <f>IF($E31="Multiply",(1-B31/MeanDomesticGasBill),1)</f>
        <v>0.9752848564</v>
      </c>
      <c r="G31" s="198">
        <f>IF($E31="Multiply",(1-C31/MeanDomesticGasBill),1)</f>
        <v>0.9471607274</v>
      </c>
      <c r="H31" s="199">
        <f>IF($E31="Multiply",(1-D31/MeanDomesticGasBill),1)</f>
        <v>0.9181843521</v>
      </c>
      <c r="J31" s="193" t="s">
        <v>46</v>
      </c>
    </row>
    <row r="32">
      <c r="A32" s="194" t="s">
        <v>71</v>
      </c>
      <c r="B32" s="195">
        <f t="array" ref="B32">INDEX(Summary!B$5:B$33,MATCH($J32,Summary!$A$5:$A$33,0))</f>
        <v>250</v>
      </c>
      <c r="C32" s="196">
        <f t="array" ref="C32">INDEX(Summary!C$5:C$33,MATCH($J32,Summary!$A$5:$A$33,0))</f>
        <v>380</v>
      </c>
      <c r="D32" s="197">
        <f t="array" ref="D32">INDEX(Summary!D$5:D$33,MATCH($J32,Summary!$A$5:$A$33,0))</f>
        <v>500</v>
      </c>
      <c r="E32" s="195" t="str">
        <f t="array" ref="E32">INDEX(Summary!AJ$5:AJ$33,MATCH($J32,Summary!$A$5:$A$33,0))</f>
        <v>Add</v>
      </c>
      <c r="F32" s="198">
        <f>IF($E32="Multiply",(1-B32/MeanDomesticGasBill),1)</f>
        <v>1</v>
      </c>
      <c r="G32" s="198">
        <f>IF($E32="Multiply",(1-C32/MeanDomesticGasBill),1)</f>
        <v>1</v>
      </c>
      <c r="H32" s="199">
        <f>IF($E32="Multiply",(1-D32/MeanDomesticGasBill),1)</f>
        <v>1</v>
      </c>
      <c r="J32" s="193" t="s">
        <v>71</v>
      </c>
    </row>
    <row r="33">
      <c r="A33" s="222" t="s">
        <v>72</v>
      </c>
      <c r="B33" s="195">
        <f t="array" ref="B33">INDEX(Summary!B$5:B$33,MATCH($J33,Summary!$A$5:$A$33,0))</f>
        <v>290</v>
      </c>
      <c r="C33" s="196">
        <f t="array" ref="C33">INDEX(Summary!C$5:C$33,MATCH($J33,Summary!$A$5:$A$33,0))</f>
        <v>420</v>
      </c>
      <c r="D33" s="197">
        <f t="array" ref="D33">INDEX(Summary!D$5:D$33,MATCH($J33,Summary!$A$5:$A$33,0))</f>
        <v>540</v>
      </c>
      <c r="E33" s="195" t="str">
        <f t="array" ref="E33">INDEX(Summary!AJ$5:AJ$33,MATCH($J33,Summary!$A$5:$A$33,0))</f>
        <v>Multiply</v>
      </c>
      <c r="F33" s="198">
        <f>IF($E33="Multiply",(1-B33/MeanDomesticGasBill),1)</f>
        <v>0.9752848564</v>
      </c>
      <c r="G33" s="198">
        <f>IF($E33="Multiply",(1-C33/MeanDomesticGasBill),1)</f>
        <v>0.964205654</v>
      </c>
      <c r="H33" s="199">
        <f>IF($E33="Multiply",(1-D33/MeanDomesticGasBill),1)</f>
        <v>0.953978698</v>
      </c>
      <c r="J33" s="193" t="s">
        <v>73</v>
      </c>
    </row>
    <row r="34">
      <c r="A34" s="146"/>
      <c r="B34" s="142"/>
      <c r="C34" s="143"/>
      <c r="D34" s="144"/>
      <c r="E34" s="142"/>
      <c r="F34" s="143"/>
      <c r="G34" s="143"/>
      <c r="H34" s="144"/>
    </row>
    <row r="35">
      <c r="A35" s="146" t="s">
        <v>57</v>
      </c>
      <c r="B35" s="201">
        <f t="shared" ref="B35:D35" si="7">SUMIFS(B30:B33,$E30:$E33,"Add")</f>
        <v>790</v>
      </c>
      <c r="C35" s="202">
        <f t="shared" si="7"/>
        <v>1090</v>
      </c>
      <c r="D35" s="203">
        <f t="shared" si="7"/>
        <v>1300</v>
      </c>
      <c r="E35" s="204" t="s">
        <v>58</v>
      </c>
      <c r="F35" s="143"/>
      <c r="G35" s="143"/>
      <c r="H35" s="144"/>
    </row>
    <row r="36">
      <c r="A36" s="146" t="s">
        <v>59</v>
      </c>
      <c r="B36" s="205">
        <f>1-B35/MeanDomesticGasBill</f>
        <v>0.9326725397</v>
      </c>
      <c r="C36" s="206">
        <f>1-C35/MeanDomesticGasBill</f>
        <v>0.9071051497</v>
      </c>
      <c r="D36" s="207">
        <f>1-D35/MeanDomesticGasBill</f>
        <v>0.8892079767</v>
      </c>
      <c r="E36" s="142"/>
      <c r="F36" s="143"/>
      <c r="G36" s="143"/>
      <c r="H36" s="144"/>
    </row>
    <row r="37">
      <c r="A37" s="146" t="s">
        <v>60</v>
      </c>
      <c r="B37" s="205">
        <f t="shared" ref="B37:D37" si="8">PRODUCT(B36,F30:F33)</f>
        <v>0.8871399803</v>
      </c>
      <c r="C37" s="206">
        <f t="shared" si="8"/>
        <v>0.8284207887</v>
      </c>
      <c r="D37" s="207">
        <f t="shared" si="8"/>
        <v>0.7788824427</v>
      </c>
      <c r="E37" s="142"/>
      <c r="F37" s="143"/>
      <c r="G37" s="143"/>
      <c r="H37" s="144"/>
    </row>
    <row r="38">
      <c r="A38" s="208" t="s">
        <v>61</v>
      </c>
      <c r="B38" s="209">
        <f t="shared" ref="B38:D38" si="9">1-B37</f>
        <v>0.1128600197</v>
      </c>
      <c r="C38" s="210">
        <f t="shared" si="9"/>
        <v>0.1715792113</v>
      </c>
      <c r="D38" s="210">
        <f t="shared" si="9"/>
        <v>0.2211175573</v>
      </c>
      <c r="E38" s="204" t="s">
        <v>62</v>
      </c>
      <c r="F38" s="143"/>
      <c r="G38" s="143"/>
      <c r="H38" s="144"/>
    </row>
    <row r="39">
      <c r="A39" s="218" t="s">
        <v>67</v>
      </c>
      <c r="B39" s="212">
        <f>ROUND(MeanDomesticGasBill*(1-B37)*gasPriceP/100,-1)</f>
        <v>90</v>
      </c>
      <c r="C39" s="213">
        <f>ROUND(MeanDomesticGasBill*(1-C37)*gasPriceP/100,-1)</f>
        <v>140</v>
      </c>
      <c r="D39" s="214">
        <f>ROUND(MeanDomesticGasBill*(1-D37)*gasPriceP/100,-1)</f>
        <v>180</v>
      </c>
      <c r="E39" s="215" t="s">
        <v>63</v>
      </c>
      <c r="F39" s="186"/>
      <c r="G39" s="186"/>
      <c r="H39" s="216"/>
    </row>
    <row r="41">
      <c r="A41" s="221" t="s">
        <v>74</v>
      </c>
      <c r="B41" s="143"/>
      <c r="C41" s="143"/>
      <c r="D41" s="143"/>
      <c r="E41" s="186"/>
      <c r="F41" s="143"/>
      <c r="G41" s="143"/>
      <c r="H41" s="143"/>
    </row>
    <row r="42">
      <c r="A42" s="187" t="s">
        <v>75</v>
      </c>
      <c r="B42" s="188">
        <f t="array" ref="B42">INDEX(Summary!B$5:B$33,MATCH($J42,Summary!$A$5:$A$33,0))</f>
        <v>820</v>
      </c>
      <c r="C42" s="189">
        <f t="array" ref="C42">INDEX(Summary!C$5:C$33,MATCH($J42,Summary!$A$5:$A$33,0))</f>
        <v>1270</v>
      </c>
      <c r="D42" s="190">
        <f t="array" ref="D42">INDEX(Summary!D$5:D$33,MATCH($J42,Summary!$A$5:$A$33,0))</f>
        <v>1720</v>
      </c>
      <c r="E42" s="188" t="str">
        <f t="array" ref="E42">INDEX(Summary!AJ$5:AJ$33,MATCH($J42,Summary!$A$5:$A$33,0))</f>
        <v>Multiply</v>
      </c>
      <c r="F42" s="191">
        <f>IF($E42="Multiply",(1-B42/MeanDomesticGasBill),1)</f>
        <v>0.9301158007</v>
      </c>
      <c r="G42" s="191">
        <f>IF($E42="Multiply",(1-C42/MeanDomesticGasBill),1)</f>
        <v>0.8917647157</v>
      </c>
      <c r="H42" s="192">
        <f>IF($E42="Multiply",(1-D42/MeanDomesticGasBill),1)</f>
        <v>0.8534136308</v>
      </c>
      <c r="J42" s="193" t="s">
        <v>76</v>
      </c>
    </row>
    <row r="43">
      <c r="A43" s="194" t="s">
        <v>70</v>
      </c>
      <c r="B43" s="195">
        <f t="array" ref="B43">INDEX(Summary!B$5:B$33,MATCH($J43,Summary!$A$5:$A$33,0))</f>
        <v>290</v>
      </c>
      <c r="C43" s="196">
        <f t="array" ref="C43">INDEX(Summary!C$5:C$33,MATCH($J43,Summary!$A$5:$A$33,0))</f>
        <v>620</v>
      </c>
      <c r="D43" s="197">
        <f t="array" ref="D43">INDEX(Summary!D$5:D$33,MATCH($J43,Summary!$A$5:$A$33,0))</f>
        <v>960</v>
      </c>
      <c r="E43" s="195" t="str">
        <f t="array" ref="E43">INDEX(Summary!AJ$5:AJ$33,MATCH($J43,Summary!$A$5:$A$33,0))</f>
        <v>Multiply</v>
      </c>
      <c r="F43" s="198">
        <f>IF($E43="Multiply",(1-B43/MeanDomesticGasBill),1)</f>
        <v>0.9752848564</v>
      </c>
      <c r="G43" s="198">
        <f>IF($E43="Multiply",(1-C43/MeanDomesticGasBill),1)</f>
        <v>0.9471607274</v>
      </c>
      <c r="H43" s="199">
        <f>IF($E43="Multiply",(1-D43/MeanDomesticGasBill),1)</f>
        <v>0.9181843521</v>
      </c>
      <c r="J43" s="193" t="s">
        <v>46</v>
      </c>
    </row>
    <row r="44">
      <c r="A44" s="223" t="s">
        <v>69</v>
      </c>
      <c r="B44" s="195">
        <f t="array" ref="B44">INDEX(Summary!B$5:B$33,MATCH($J44,Summary!$A$5:$A$33,0))</f>
        <v>540</v>
      </c>
      <c r="C44" s="196">
        <f t="array" ref="C44">INDEX(Summary!C$5:C$33,MATCH($J44,Summary!$A$5:$A$33,0))</f>
        <v>710</v>
      </c>
      <c r="D44" s="197">
        <f t="array" ref="D44">INDEX(Summary!D$5:D$33,MATCH($J44,Summary!$A$5:$A$33,0))</f>
        <v>800</v>
      </c>
      <c r="E44" s="195" t="str">
        <f t="array" ref="E44">INDEX(Summary!AJ$5:AJ$33,MATCH($J44,Summary!$A$5:$A$33,0))</f>
        <v>Add</v>
      </c>
      <c r="F44" s="198">
        <f>IF($E44="Multiply",(1-B44/MeanDomesticGasBill),1)</f>
        <v>1</v>
      </c>
      <c r="G44" s="198">
        <f>IF($E44="Multiply",(1-C44/MeanDomesticGasBill),1)</f>
        <v>1</v>
      </c>
      <c r="H44" s="199">
        <f>IF($E44="Multiply",(1-D44/MeanDomesticGasBill),1)</f>
        <v>1</v>
      </c>
      <c r="J44" s="193" t="s">
        <v>38</v>
      </c>
    </row>
    <row r="45">
      <c r="A45" s="222" t="s">
        <v>77</v>
      </c>
      <c r="B45" s="195">
        <f t="array" ref="B45">INDEX(Summary!B$5:B$33,MATCH($J45,Summary!$A$5:$A$33,0))</f>
        <v>860</v>
      </c>
      <c r="C45" s="196">
        <f t="array" ref="C45">INDEX(Summary!C$5:C$33,MATCH($J45,Summary!$A$5:$A$33,0))</f>
        <v>1330</v>
      </c>
      <c r="D45" s="197">
        <f t="array" ref="D45">INDEX(Summary!D$5:D$33,MATCH($J45,Summary!$A$5:$A$33,0))</f>
        <v>1460</v>
      </c>
      <c r="E45" s="195" t="str">
        <f t="array" ref="E45">INDEX(Summary!AJ$5:AJ$33,MATCH($J45,Summary!$A$5:$A$33,0))</f>
        <v>Multiply</v>
      </c>
      <c r="F45" s="198">
        <f>IF($E45="Multiply",(1-B45/MeanDomesticGasBill),1)</f>
        <v>0.9267068154</v>
      </c>
      <c r="G45" s="198">
        <f>IF($E45="Multiply",(1-C45/MeanDomesticGasBill),1)</f>
        <v>0.8866512378</v>
      </c>
      <c r="H45" s="199">
        <f>IF($E45="Multiply",(1-D45/MeanDomesticGasBill),1)</f>
        <v>0.8755720354</v>
      </c>
      <c r="J45" s="193" t="s">
        <v>53</v>
      </c>
    </row>
    <row r="46">
      <c r="A46" s="146"/>
      <c r="B46" s="142"/>
      <c r="C46" s="143"/>
      <c r="D46" s="144"/>
      <c r="E46" s="142"/>
      <c r="F46" s="143"/>
      <c r="G46" s="143"/>
      <c r="H46" s="144"/>
    </row>
    <row r="47">
      <c r="A47" s="146" t="s">
        <v>57</v>
      </c>
      <c r="B47" s="201">
        <f t="shared" ref="B47:D47" si="10">SUMIFS(B42:B45,$E42:$E45,"Add")</f>
        <v>540</v>
      </c>
      <c r="C47" s="202">
        <f t="shared" si="10"/>
        <v>710</v>
      </c>
      <c r="D47" s="203">
        <f t="shared" si="10"/>
        <v>800</v>
      </c>
      <c r="E47" s="204" t="s">
        <v>58</v>
      </c>
      <c r="F47" s="143"/>
      <c r="G47" s="143"/>
      <c r="H47" s="144"/>
    </row>
    <row r="48">
      <c r="A48" s="146" t="s">
        <v>59</v>
      </c>
      <c r="B48" s="205">
        <f>1-B47/MeanDomesticGasBill</f>
        <v>0.953978698</v>
      </c>
      <c r="C48" s="206">
        <f>1-C47/MeanDomesticGasBill</f>
        <v>0.9394905104</v>
      </c>
      <c r="D48" s="207">
        <f>1-D47/MeanDomesticGasBill</f>
        <v>0.9318202934</v>
      </c>
      <c r="E48" s="142"/>
      <c r="F48" s="143"/>
      <c r="G48" s="143"/>
      <c r="H48" s="144"/>
    </row>
    <row r="49">
      <c r="A49" s="146" t="s">
        <v>60</v>
      </c>
      <c r="B49" s="205">
        <f t="shared" ref="B49:D49" si="11">PRODUCT(B48,F42:F45)</f>
        <v>0.8019541464</v>
      </c>
      <c r="C49" s="206">
        <f t="shared" si="11"/>
        <v>0.7035892405</v>
      </c>
      <c r="D49" s="207">
        <f t="shared" si="11"/>
        <v>0.6393129608</v>
      </c>
      <c r="E49" s="142"/>
      <c r="F49" s="143"/>
      <c r="G49" s="143"/>
      <c r="H49" s="144"/>
    </row>
    <row r="50">
      <c r="A50" s="208" t="s">
        <v>61</v>
      </c>
      <c r="B50" s="209">
        <f t="shared" ref="B50:D50" si="12">1-B49</f>
        <v>0.1980458536</v>
      </c>
      <c r="C50" s="210">
        <f t="shared" si="12"/>
        <v>0.2964107595</v>
      </c>
      <c r="D50" s="210">
        <f t="shared" si="12"/>
        <v>0.3606870392</v>
      </c>
      <c r="E50" s="204" t="s">
        <v>62</v>
      </c>
      <c r="F50" s="143"/>
      <c r="G50" s="143"/>
      <c r="H50" s="144"/>
    </row>
    <row r="51">
      <c r="A51" s="218" t="s">
        <v>67</v>
      </c>
      <c r="B51" s="212">
        <f>ROUND(MeanDomesticGasBill*(1-B49)*gasPriceP/100,-1)</f>
        <v>160</v>
      </c>
      <c r="C51" s="213">
        <f>ROUND(MeanDomesticGasBill*(1-C49)*gasPriceP/100,-1)</f>
        <v>240</v>
      </c>
      <c r="D51" s="214">
        <f>ROUND(MeanDomesticGasBill*(1-D49)*gasPriceP/100,-1)</f>
        <v>290</v>
      </c>
      <c r="E51" s="215" t="s">
        <v>63</v>
      </c>
      <c r="F51" s="186"/>
      <c r="G51" s="186"/>
      <c r="H51" s="216"/>
    </row>
    <row r="53">
      <c r="A53" s="185" t="s">
        <v>78</v>
      </c>
      <c r="B53" s="186"/>
      <c r="C53" s="143"/>
      <c r="D53" s="143"/>
      <c r="E53" s="186"/>
      <c r="F53" s="143"/>
      <c r="G53" s="143"/>
      <c r="H53" s="143"/>
    </row>
    <row r="54">
      <c r="A54" s="187" t="s">
        <v>79</v>
      </c>
      <c r="B54" s="188">
        <f t="array" ref="B54">INDEX(Summary!B$5:B$33,MATCH($J54,Summary!$A$5:$A$33,0))</f>
        <v>820</v>
      </c>
      <c r="C54" s="189">
        <f t="array" ref="C54">INDEX(Summary!C$5:C$33,MATCH($J54,Summary!$A$5:$A$33,0))</f>
        <v>1270</v>
      </c>
      <c r="D54" s="190">
        <f t="array" ref="D54">INDEX(Summary!D$5:D$33,MATCH($J54,Summary!$A$5:$A$33,0))</f>
        <v>1720</v>
      </c>
      <c r="E54" s="188" t="str">
        <f t="array" ref="E54">INDEX(Summary!AJ$5:AJ$33,MATCH($J54,Summary!$A$5:$A$33,0))</f>
        <v>Multiply</v>
      </c>
      <c r="F54" s="191">
        <f>IF($E54="Multiply",(1-B54/MeanDomesticGasBill),1)</f>
        <v>0.9301158007</v>
      </c>
      <c r="G54" s="191">
        <f>IF($E54="Multiply",(1-C54/MeanDomesticGasBill),1)</f>
        <v>0.8917647157</v>
      </c>
      <c r="H54" s="192">
        <f>IF($E54="Multiply",(1-D54/MeanDomesticGasBill),1)</f>
        <v>0.8534136308</v>
      </c>
      <c r="J54" s="193" t="s">
        <v>76</v>
      </c>
    </row>
    <row r="55">
      <c r="A55" s="224" t="s">
        <v>46</v>
      </c>
      <c r="B55" s="195">
        <f t="array" ref="B55">INDEX(Summary!B$5:B$33,MATCH($J55,Summary!$A$5:$A$33,0))</f>
        <v>290</v>
      </c>
      <c r="C55" s="196">
        <f t="array" ref="C55">INDEX(Summary!C$5:C$33,MATCH($J55,Summary!$A$5:$A$33,0))</f>
        <v>620</v>
      </c>
      <c r="D55" s="197">
        <f t="array" ref="D55">INDEX(Summary!D$5:D$33,MATCH($J55,Summary!$A$5:$A$33,0))</f>
        <v>960</v>
      </c>
      <c r="E55" s="195" t="str">
        <f t="array" ref="E55">INDEX(Summary!AJ$5:AJ$33,MATCH($J55,Summary!$A$5:$A$33,0))</f>
        <v>Multiply</v>
      </c>
      <c r="F55" s="198">
        <f>IF($E55="Multiply",(1-B55/MeanDomesticGasBill),1)</f>
        <v>0.9752848564</v>
      </c>
      <c r="G55" s="198">
        <f>IF($E55="Multiply",(1-C55/MeanDomesticGasBill),1)</f>
        <v>0.9471607274</v>
      </c>
      <c r="H55" s="199">
        <f>IF($E55="Multiply",(1-D55/MeanDomesticGasBill),1)</f>
        <v>0.9181843521</v>
      </c>
      <c r="J55" s="193" t="s">
        <v>46</v>
      </c>
    </row>
    <row r="56">
      <c r="A56" s="223" t="s">
        <v>69</v>
      </c>
      <c r="B56" s="195">
        <f t="array" ref="B56">INDEX(Summary!B$5:B$33,MATCH($J56,Summary!$A$5:$A$33,0))</f>
        <v>540</v>
      </c>
      <c r="C56" s="196">
        <f t="array" ref="C56">INDEX(Summary!C$5:C$33,MATCH($J56,Summary!$A$5:$A$33,0))</f>
        <v>710</v>
      </c>
      <c r="D56" s="197">
        <f t="array" ref="D56">INDEX(Summary!D$5:D$33,MATCH($J56,Summary!$A$5:$A$33,0))</f>
        <v>800</v>
      </c>
      <c r="E56" s="195" t="str">
        <f t="array" ref="E56">INDEX(Summary!AJ$5:AJ$33,MATCH($J56,Summary!$A$5:$A$33,0))</f>
        <v>Add</v>
      </c>
      <c r="F56" s="198">
        <f>IF($E56="Multiply",(1-B56/MeanDomesticGasBill),1)</f>
        <v>1</v>
      </c>
      <c r="G56" s="198">
        <f>IF($E56="Multiply",(1-C56/MeanDomesticGasBill),1)</f>
        <v>1</v>
      </c>
      <c r="H56" s="199">
        <f>IF($E56="Multiply",(1-D56/MeanDomesticGasBill),1)</f>
        <v>1</v>
      </c>
      <c r="J56" s="193" t="s">
        <v>38</v>
      </c>
    </row>
    <row r="57">
      <c r="A57" s="224" t="s">
        <v>80</v>
      </c>
      <c r="B57" s="195">
        <f t="array" ref="B57">INDEX(Summary!B$5:B$33,MATCH($J57,Summary!$A$5:$A$33,0))</f>
        <v>80</v>
      </c>
      <c r="C57" s="196">
        <f t="array" ref="C57">INDEX(Summary!C$5:C$33,MATCH($J57,Summary!$A$5:$A$33,0))</f>
        <v>230</v>
      </c>
      <c r="D57" s="197">
        <f t="array" ref="D57">INDEX(Summary!D$5:D$33,MATCH($J57,Summary!$A$5:$A$33,0))</f>
        <v>390</v>
      </c>
      <c r="E57" s="195" t="str">
        <f t="array" ref="E57">INDEX(Summary!AJ$5:AJ$33,MATCH($J57,Summary!$A$5:$A$33,0))</f>
        <v>Add</v>
      </c>
      <c r="F57" s="198">
        <f>IF($E57="Multiply",(1-B57/MeanDomesticGasBill),1)</f>
        <v>1</v>
      </c>
      <c r="G57" s="198">
        <f>IF($E57="Multiply",(1-C57/MeanDomesticGasBill),1)</f>
        <v>1</v>
      </c>
      <c r="H57" s="199">
        <f>IF($E57="Multiply",(1-D57/MeanDomesticGasBill),1)</f>
        <v>1</v>
      </c>
      <c r="J57" s="193" t="s">
        <v>65</v>
      </c>
    </row>
    <row r="58">
      <c r="A58" s="146"/>
      <c r="B58" s="142"/>
      <c r="C58" s="143"/>
      <c r="D58" s="144"/>
      <c r="E58" s="142"/>
      <c r="F58" s="143"/>
      <c r="G58" s="143"/>
      <c r="H58" s="144"/>
    </row>
    <row r="59">
      <c r="A59" s="146" t="s">
        <v>57</v>
      </c>
      <c r="B59" s="201">
        <f t="shared" ref="B59:D59" si="13">SUMIFS(B54:B57,$E54:$E57,"Add")</f>
        <v>620</v>
      </c>
      <c r="C59" s="202">
        <f t="shared" si="13"/>
        <v>940</v>
      </c>
      <c r="D59" s="203">
        <f t="shared" si="13"/>
        <v>1190</v>
      </c>
      <c r="E59" s="204" t="s">
        <v>58</v>
      </c>
      <c r="F59" s="143"/>
      <c r="G59" s="143"/>
      <c r="H59" s="144"/>
    </row>
    <row r="60">
      <c r="A60" s="146" t="s">
        <v>59</v>
      </c>
      <c r="B60" s="205">
        <f>1-B59/MeanDomesticGasBill</f>
        <v>0.9471607274</v>
      </c>
      <c r="C60" s="206">
        <f>1-C59/MeanDomesticGasBill</f>
        <v>0.9198888447</v>
      </c>
      <c r="D60" s="207">
        <f>1-D59/MeanDomesticGasBill</f>
        <v>0.8985826864</v>
      </c>
      <c r="E60" s="142"/>
      <c r="F60" s="143"/>
      <c r="G60" s="143"/>
      <c r="H60" s="144"/>
    </row>
    <row r="61">
      <c r="A61" s="146" t="s">
        <v>60</v>
      </c>
      <c r="B61" s="205">
        <f t="shared" ref="B61:D61" si="14">PRODUCT(B60,F54:F57)</f>
        <v>0.8591958791</v>
      </c>
      <c r="C61" s="206">
        <f t="shared" si="14"/>
        <v>0.7769790688</v>
      </c>
      <c r="D61" s="207">
        <f t="shared" si="14"/>
        <v>0.7041213432</v>
      </c>
      <c r="E61" s="142"/>
      <c r="F61" s="143"/>
      <c r="G61" s="143"/>
      <c r="H61" s="144"/>
    </row>
    <row r="62">
      <c r="A62" s="208" t="s">
        <v>61</v>
      </c>
      <c r="B62" s="209">
        <f t="shared" ref="B62:D62" si="15">1-B61</f>
        <v>0.140804121</v>
      </c>
      <c r="C62" s="210">
        <f t="shared" si="15"/>
        <v>0.2230209312</v>
      </c>
      <c r="D62" s="210">
        <f t="shared" si="15"/>
        <v>0.2958786568</v>
      </c>
      <c r="E62" s="204" t="s">
        <v>62</v>
      </c>
      <c r="F62" s="143"/>
      <c r="G62" s="143"/>
      <c r="H62" s="144"/>
    </row>
    <row r="63">
      <c r="A63" s="218" t="s">
        <v>67</v>
      </c>
      <c r="B63" s="212">
        <f>ROUND(MeanDomesticGasBill*(1-B61)*gasPriceP/100,-1)</f>
        <v>110</v>
      </c>
      <c r="C63" s="213">
        <f>ROUND(MeanDomesticGasBill*(1-C61)*gasPriceP/100,-1)</f>
        <v>180</v>
      </c>
      <c r="D63" s="214">
        <f>ROUND(MeanDomesticGasBill*(1-D61)*gasPriceP/100,-1)</f>
        <v>240</v>
      </c>
      <c r="E63" s="215" t="s">
        <v>63</v>
      </c>
      <c r="F63" s="186"/>
      <c r="G63" s="186"/>
      <c r="H63" s="216"/>
    </row>
    <row r="64" ht="33.75" customHeight="1"/>
    <row r="66">
      <c r="A66" s="185" t="s">
        <v>81</v>
      </c>
      <c r="B66" s="30"/>
      <c r="C66" s="30"/>
      <c r="D66" s="30"/>
      <c r="E66" s="30"/>
      <c r="F66" s="30"/>
      <c r="G66" s="30"/>
      <c r="H66" s="30"/>
    </row>
    <row r="67" ht="31.5" customHeight="1">
      <c r="A67" s="225" t="s">
        <v>82</v>
      </c>
    </row>
    <row r="68" ht="31.5" customHeight="1">
      <c r="A68" s="225" t="s">
        <v>83</v>
      </c>
    </row>
    <row r="69">
      <c r="A69" s="30"/>
      <c r="B69" s="30"/>
      <c r="C69" s="30"/>
      <c r="D69" s="30"/>
      <c r="E69" s="30"/>
      <c r="F69" s="30"/>
      <c r="G69" s="30"/>
      <c r="H69" s="30"/>
    </row>
    <row r="70">
      <c r="A70" s="185" t="s">
        <v>84</v>
      </c>
      <c r="B70" s="30"/>
      <c r="C70" s="30"/>
      <c r="D70" s="30"/>
      <c r="E70" s="30"/>
      <c r="F70" s="30"/>
      <c r="G70" s="30"/>
      <c r="H70" s="30"/>
    </row>
    <row r="71">
      <c r="A71" s="30" t="s">
        <v>85</v>
      </c>
      <c r="B71" s="30"/>
      <c r="C71" s="30"/>
      <c r="D71" s="30"/>
      <c r="E71" s="30"/>
      <c r="F71" s="30"/>
      <c r="G71" s="30"/>
      <c r="H71" s="30"/>
    </row>
    <row r="74">
      <c r="A74" s="226" t="s">
        <v>86</v>
      </c>
      <c r="B74" s="227"/>
      <c r="C74" s="228"/>
      <c r="D74" s="228"/>
      <c r="E74" s="227"/>
      <c r="F74" s="228"/>
      <c r="G74" s="228"/>
      <c r="H74" s="227"/>
    </row>
    <row r="75">
      <c r="A75" s="229" t="s">
        <v>87</v>
      </c>
      <c r="B75" s="188">
        <f t="array" ref="B75">INDEX(Summary!B$5:B$33,MATCH($J75,Summary!$A$5:$A$33,0))</f>
        <v>610</v>
      </c>
      <c r="C75" s="189">
        <f t="array" ref="C75">INDEX(Summary!C$5:C$33,MATCH($J75,Summary!$A$5:$A$33,0))</f>
        <v>940</v>
      </c>
      <c r="D75" s="190">
        <f t="array" ref="D75">INDEX(Summary!D$5:D$33,MATCH($J75,Summary!$A$5:$A$33,0))</f>
        <v>1030</v>
      </c>
      <c r="E75" s="188" t="str">
        <f t="array" ref="E75">INDEX(Summary!AJ$5:AJ$33,MATCH($J75,Summary!$A$5:$A$33,0))</f>
        <v>Multiply</v>
      </c>
      <c r="F75" s="191">
        <f>IF($E75="Multiply",(1-B75/MeanDomesticGasBill),1)</f>
        <v>0.9480129737</v>
      </c>
      <c r="G75" s="191">
        <f>IF($E75="Multiply",(1-C75/MeanDomesticGasBill),1)</f>
        <v>0.9198888447</v>
      </c>
      <c r="H75" s="192">
        <f>IF($E75="Multiply",(1-D75/MeanDomesticGasBill),1)</f>
        <v>0.9122186277</v>
      </c>
      <c r="J75" s="230" t="s">
        <v>88</v>
      </c>
    </row>
    <row r="76">
      <c r="A76" s="231" t="s">
        <v>76</v>
      </c>
      <c r="B76" s="195">
        <f t="array" ref="B76">INDEX(Summary!B$5:B$33,MATCH($J76,Summary!$A$5:$A$33,0))</f>
        <v>820</v>
      </c>
      <c r="C76" s="196">
        <f t="array" ref="C76">INDEX(Summary!C$5:C$33,MATCH($J76,Summary!$A$5:$A$33,0))</f>
        <v>1270</v>
      </c>
      <c r="D76" s="197">
        <f t="array" ref="D76">INDEX(Summary!D$5:D$33,MATCH($J76,Summary!$A$5:$A$33,0))</f>
        <v>1720</v>
      </c>
      <c r="E76" s="195" t="str">
        <f t="array" ref="E76">INDEX(Summary!AJ$5:AJ$33,MATCH($J76,Summary!$A$5:$A$33,0))</f>
        <v>Multiply</v>
      </c>
      <c r="F76" s="198">
        <f>IF($E76="Multiply",(1-B76/MeanDomesticGasBill),1)</f>
        <v>0.9301158007</v>
      </c>
      <c r="G76" s="198">
        <f>IF($E76="Multiply",(1-C76/MeanDomesticGasBill),1)</f>
        <v>0.8917647157</v>
      </c>
      <c r="H76" s="199">
        <f>IF($E76="Multiply",(1-D76/MeanDomesticGasBill),1)</f>
        <v>0.8534136308</v>
      </c>
      <c r="J76" s="230" t="s">
        <v>76</v>
      </c>
    </row>
    <row r="77">
      <c r="A77" s="146"/>
      <c r="B77" s="142"/>
      <c r="C77" s="143"/>
      <c r="D77" s="144"/>
      <c r="E77" s="142"/>
      <c r="F77" s="143"/>
      <c r="G77" s="143"/>
      <c r="H77" s="144"/>
    </row>
    <row r="78">
      <c r="A78" s="146" t="s">
        <v>57</v>
      </c>
      <c r="B78" s="201">
        <f t="shared" ref="B78:D78" si="16">SUMIFS(B75:B76,$E75:$E76,"Add")</f>
        <v>0</v>
      </c>
      <c r="C78" s="202">
        <f t="shared" si="16"/>
        <v>0</v>
      </c>
      <c r="D78" s="203">
        <f t="shared" si="16"/>
        <v>0</v>
      </c>
      <c r="E78" s="204" t="s">
        <v>58</v>
      </c>
      <c r="F78" s="143"/>
      <c r="G78" s="143"/>
      <c r="H78" s="144"/>
      <c r="K78" s="232" t="s">
        <v>76</v>
      </c>
    </row>
    <row r="79">
      <c r="A79" s="146" t="s">
        <v>59</v>
      </c>
      <c r="B79" s="205">
        <f>1-B78/MeanDomesticGasBill</f>
        <v>1</v>
      </c>
      <c r="C79" s="206">
        <f>1-C78/MeanDomesticGasBill</f>
        <v>1</v>
      </c>
      <c r="D79" s="207">
        <f>1-D78/MeanDomesticGasBill</f>
        <v>1</v>
      </c>
      <c r="E79" s="142"/>
      <c r="F79" s="143"/>
      <c r="G79" s="143"/>
      <c r="H79" s="144"/>
      <c r="K79" s="232" t="s">
        <v>56</v>
      </c>
    </row>
    <row r="80">
      <c r="A80" s="146" t="s">
        <v>60</v>
      </c>
      <c r="B80" s="205">
        <f t="shared" ref="B80:D80" si="17">PRODUCT(B79,F75:F76)</f>
        <v>0.8817618461</v>
      </c>
      <c r="C80" s="206">
        <f t="shared" si="17"/>
        <v>0.8203244141</v>
      </c>
      <c r="D80" s="207">
        <f t="shared" si="17"/>
        <v>0.7784998112</v>
      </c>
      <c r="E80" s="142"/>
      <c r="F80" s="143"/>
      <c r="G80" s="143"/>
      <c r="H80" s="144"/>
    </row>
    <row r="81">
      <c r="A81" s="208" t="s">
        <v>61</v>
      </c>
      <c r="B81" s="209">
        <f t="shared" ref="B81:D81" si="18">1-B80</f>
        <v>0.1182381539</v>
      </c>
      <c r="C81" s="210">
        <f t="shared" si="18"/>
        <v>0.1796755859</v>
      </c>
      <c r="D81" s="210">
        <f t="shared" si="18"/>
        <v>0.2215001888</v>
      </c>
      <c r="E81" s="204" t="s">
        <v>62</v>
      </c>
      <c r="F81" s="143"/>
      <c r="G81" s="143"/>
      <c r="H81" s="144"/>
    </row>
    <row r="82">
      <c r="A82" s="211" t="s">
        <v>61</v>
      </c>
      <c r="B82" s="212">
        <f>ROUND(MeanDomesticGasBill*(1-B80)*gasPriceP/100,-1)</f>
        <v>100</v>
      </c>
      <c r="C82" s="213">
        <f>ROUND(MeanDomesticGasBill*(1-C80)*gasPriceP/100,-1)</f>
        <v>150</v>
      </c>
      <c r="D82" s="214">
        <f>ROUND(MeanDomesticGasBill*(1-D80)*gasPriceP/100,-1)</f>
        <v>180</v>
      </c>
      <c r="E82" s="215" t="s">
        <v>63</v>
      </c>
      <c r="F82" s="186"/>
      <c r="G82" s="186"/>
      <c r="H82" s="216"/>
    </row>
    <row r="85">
      <c r="A85" s="226" t="s">
        <v>86</v>
      </c>
      <c r="B85" s="227"/>
      <c r="C85" s="228"/>
      <c r="D85" s="228"/>
      <c r="E85" s="227"/>
      <c r="F85" s="228"/>
      <c r="G85" s="228"/>
      <c r="H85" s="227"/>
    </row>
    <row r="86">
      <c r="A86" s="229" t="s">
        <v>87</v>
      </c>
      <c r="B86" s="188">
        <f t="array" ref="B86">INDEX(Summary!B$5:B$33,MATCH($J86,Summary!$A$5:$A$33,0))</f>
        <v>610</v>
      </c>
      <c r="C86" s="189">
        <f t="array" ref="C86">INDEX(Summary!C$5:C$33,MATCH($J86,Summary!$A$5:$A$33,0))</f>
        <v>940</v>
      </c>
      <c r="D86" s="190">
        <f t="array" ref="D86">INDEX(Summary!D$5:D$33,MATCH($J86,Summary!$A$5:$A$33,0))</f>
        <v>1030</v>
      </c>
      <c r="E86" s="188" t="str">
        <f t="array" ref="E86">INDEX(Summary!AJ$5:AJ$33,MATCH($J86,Summary!$A$5:$A$33,0))</f>
        <v>Multiply</v>
      </c>
      <c r="F86" s="191">
        <f>IF($E86="Multiply",(1-B86/MeanDomesticGasBill),1)</f>
        <v>0.9480129737</v>
      </c>
      <c r="G86" s="191">
        <f>IF($E86="Multiply",(1-C86/MeanDomesticGasBill),1)</f>
        <v>0.9198888447</v>
      </c>
      <c r="H86" s="192">
        <f>IF($E86="Multiply",(1-D86/MeanDomesticGasBill),1)</f>
        <v>0.9122186277</v>
      </c>
      <c r="J86" s="230" t="s">
        <v>88</v>
      </c>
    </row>
    <row r="87">
      <c r="A87" s="233" t="s">
        <v>89</v>
      </c>
      <c r="B87" s="195">
        <f t="array" ref="B87">INDEX(Summary!B$5:B$33,MATCH($J87,Summary!$A$5:$A$33,0))</f>
        <v>100</v>
      </c>
      <c r="C87" s="196">
        <f t="array" ref="C87">INDEX(Summary!C$5:C$33,MATCH($J87,Summary!$A$5:$A$33,0))</f>
        <v>250</v>
      </c>
      <c r="D87" s="197">
        <f t="array" ref="D87">INDEX(Summary!D$5:D$33,MATCH($J87,Summary!$A$5:$A$33,0))</f>
        <v>460</v>
      </c>
      <c r="E87" s="195" t="str">
        <f t="array" ref="E87">INDEX(Summary!AJ$5:AJ$33,MATCH($J87,Summary!$A$5:$A$33,0))</f>
        <v>Add</v>
      </c>
      <c r="F87" s="198">
        <f>IF($E87="Multiply",(1-B87/MeanDomesticGasBill),1)</f>
        <v>1</v>
      </c>
      <c r="G87" s="198">
        <f>IF($E87="Multiply",(1-C87/MeanDomesticGasBill),1)</f>
        <v>1</v>
      </c>
      <c r="H87" s="199">
        <f>IF($E87="Multiply",(1-D87/MeanDomesticGasBill),1)</f>
        <v>1</v>
      </c>
      <c r="J87" s="230" t="s">
        <v>89</v>
      </c>
    </row>
    <row r="88">
      <c r="A88" s="146"/>
      <c r="B88" s="142"/>
      <c r="C88" s="143"/>
      <c r="D88" s="144"/>
      <c r="E88" s="142"/>
      <c r="F88" s="143"/>
      <c r="G88" s="143"/>
      <c r="H88" s="144"/>
    </row>
    <row r="89">
      <c r="A89" s="146" t="s">
        <v>57</v>
      </c>
      <c r="B89" s="201">
        <f t="shared" ref="B89:D89" si="19">SUMIFS(B86:B87,$E86:$E87,"Add")</f>
        <v>100</v>
      </c>
      <c r="C89" s="202">
        <f t="shared" si="19"/>
        <v>250</v>
      </c>
      <c r="D89" s="203">
        <f t="shared" si="19"/>
        <v>460</v>
      </c>
      <c r="E89" s="204" t="s">
        <v>58</v>
      </c>
      <c r="F89" s="143"/>
      <c r="G89" s="143"/>
      <c r="H89" s="144"/>
      <c r="K89" s="232" t="s">
        <v>76</v>
      </c>
    </row>
    <row r="90">
      <c r="A90" s="146" t="s">
        <v>59</v>
      </c>
      <c r="B90" s="205">
        <f>1-B89/MeanDomesticGasBill</f>
        <v>0.9914775367</v>
      </c>
      <c r="C90" s="206">
        <f>1-C89/MeanDomesticGasBill</f>
        <v>0.9786938417</v>
      </c>
      <c r="D90" s="207">
        <f>1-D89/MeanDomesticGasBill</f>
        <v>0.9607966687</v>
      </c>
      <c r="E90" s="142"/>
      <c r="F90" s="143"/>
      <c r="G90" s="143"/>
      <c r="H90" s="144"/>
      <c r="K90" s="232" t="s">
        <v>56</v>
      </c>
    </row>
    <row r="91">
      <c r="A91" s="146" t="s">
        <v>60</v>
      </c>
      <c r="B91" s="205">
        <f t="shared" ref="B91:D91" si="20">PRODUCT(B90,F86:F87)</f>
        <v>0.9399335679</v>
      </c>
      <c r="C91" s="206">
        <f t="shared" si="20"/>
        <v>0.9002895474</v>
      </c>
      <c r="D91" s="207">
        <f t="shared" si="20"/>
        <v>0.8764566186</v>
      </c>
      <c r="E91" s="142"/>
      <c r="F91" s="143"/>
      <c r="G91" s="143"/>
      <c r="H91" s="144"/>
    </row>
    <row r="92">
      <c r="A92" s="208" t="s">
        <v>61</v>
      </c>
      <c r="B92" s="209">
        <f t="shared" ref="B92:D92" si="21">1-B91</f>
        <v>0.0600664321</v>
      </c>
      <c r="C92" s="210">
        <f t="shared" si="21"/>
        <v>0.09971045263</v>
      </c>
      <c r="D92" s="210">
        <f t="shared" si="21"/>
        <v>0.1235433814</v>
      </c>
      <c r="E92" s="204" t="s">
        <v>62</v>
      </c>
      <c r="F92" s="143"/>
      <c r="G92" s="143"/>
      <c r="H92" s="144"/>
    </row>
    <row r="93">
      <c r="A93" s="211" t="s">
        <v>61</v>
      </c>
      <c r="B93" s="212">
        <f>ROUND(MeanDomesticGasBill*(1-B91)*gasPriceP/100,-1)</f>
        <v>50</v>
      </c>
      <c r="C93" s="213">
        <f>ROUND(MeanDomesticGasBill*(1-C91)*gasPriceP/100,-1)</f>
        <v>80</v>
      </c>
      <c r="D93" s="214">
        <f>ROUND(MeanDomesticGasBill*(1-D91)*gasPriceP/100,-1)</f>
        <v>100</v>
      </c>
      <c r="E93" s="215" t="s">
        <v>63</v>
      </c>
      <c r="F93" s="186"/>
      <c r="G93" s="186"/>
      <c r="H93" s="216"/>
    </row>
    <row r="96">
      <c r="A96" s="226" t="s">
        <v>86</v>
      </c>
      <c r="B96" s="227"/>
      <c r="C96" s="228"/>
      <c r="D96" s="228"/>
      <c r="E96" s="227"/>
      <c r="F96" s="228"/>
      <c r="G96" s="228"/>
      <c r="H96" s="227"/>
    </row>
    <row r="97">
      <c r="A97" s="229" t="s">
        <v>87</v>
      </c>
      <c r="B97" s="188">
        <f t="array" ref="B97">INDEX(Summary!B$5:B$33,MATCH($J97,Summary!$A$5:$A$33,0))</f>
        <v>610</v>
      </c>
      <c r="C97" s="189">
        <f t="array" ref="C97">INDEX(Summary!C$5:C$33,MATCH($J97,Summary!$A$5:$A$33,0))</f>
        <v>940</v>
      </c>
      <c r="D97" s="190">
        <f t="array" ref="D97">INDEX(Summary!D$5:D$33,MATCH($J97,Summary!$A$5:$A$33,0))</f>
        <v>1030</v>
      </c>
      <c r="E97" s="188" t="str">
        <f t="array" ref="E97">INDEX(Summary!AJ$5:AJ$33,MATCH($J97,Summary!$A$5:$A$33,0))</f>
        <v>Multiply</v>
      </c>
      <c r="F97" s="191">
        <f>IF($E97="Multiply",(1-B97/MeanDomesticGasBill),1)</f>
        <v>0.9480129737</v>
      </c>
      <c r="G97" s="191">
        <f>IF($E97="Multiply",(1-C97/MeanDomesticGasBill),1)</f>
        <v>0.9198888447</v>
      </c>
      <c r="H97" s="192">
        <f>IF($E97="Multiply",(1-D97/MeanDomesticGasBill),1)</f>
        <v>0.9122186277</v>
      </c>
      <c r="J97" s="230" t="s">
        <v>88</v>
      </c>
    </row>
    <row r="98">
      <c r="A98" s="146"/>
      <c r="B98" s="142"/>
      <c r="C98" s="143"/>
      <c r="D98" s="144"/>
      <c r="E98" s="142"/>
      <c r="F98" s="143"/>
      <c r="G98" s="143"/>
      <c r="H98" s="144"/>
    </row>
    <row r="99">
      <c r="A99" s="146" t="s">
        <v>57</v>
      </c>
      <c r="B99" s="201">
        <f t="shared" ref="B99:D99" si="22">SUMIFS(B97,$E97,"Add")</f>
        <v>0</v>
      </c>
      <c r="C99" s="202">
        <f t="shared" si="22"/>
        <v>0</v>
      </c>
      <c r="D99" s="203">
        <f t="shared" si="22"/>
        <v>0</v>
      </c>
      <c r="E99" s="204" t="s">
        <v>58</v>
      </c>
      <c r="F99" s="143"/>
      <c r="G99" s="143"/>
      <c r="H99" s="144"/>
      <c r="K99" s="232" t="s">
        <v>76</v>
      </c>
    </row>
    <row r="100">
      <c r="A100" s="146" t="s">
        <v>59</v>
      </c>
      <c r="B100" s="205">
        <f>1-B99/MeanDomesticGasBill</f>
        <v>1</v>
      </c>
      <c r="C100" s="206">
        <f>1-C99/MeanDomesticGasBill</f>
        <v>1</v>
      </c>
      <c r="D100" s="207">
        <f>1-D99/MeanDomesticGasBill</f>
        <v>1</v>
      </c>
      <c r="E100" s="142"/>
      <c r="F100" s="143"/>
      <c r="G100" s="143"/>
      <c r="H100" s="144"/>
      <c r="K100" s="232" t="s">
        <v>56</v>
      </c>
    </row>
    <row r="101">
      <c r="A101" s="146" t="s">
        <v>60</v>
      </c>
      <c r="B101" s="205">
        <f t="shared" ref="B101:D101" si="23">PRODUCT(B100,F97)</f>
        <v>0.9480129737</v>
      </c>
      <c r="C101" s="206">
        <f t="shared" si="23"/>
        <v>0.9198888447</v>
      </c>
      <c r="D101" s="207">
        <f t="shared" si="23"/>
        <v>0.9122186277</v>
      </c>
      <c r="E101" s="142"/>
      <c r="F101" s="143"/>
      <c r="G101" s="143"/>
      <c r="H101" s="144"/>
    </row>
    <row r="102">
      <c r="A102" s="208" t="s">
        <v>61</v>
      </c>
      <c r="B102" s="209">
        <f t="shared" ref="B102:D102" si="24">1-B101</f>
        <v>0.0519870263</v>
      </c>
      <c r="C102" s="210">
        <f t="shared" si="24"/>
        <v>0.08011115527</v>
      </c>
      <c r="D102" s="210">
        <f t="shared" si="24"/>
        <v>0.08778137227</v>
      </c>
      <c r="E102" s="204" t="s">
        <v>62</v>
      </c>
      <c r="F102" s="143"/>
      <c r="G102" s="143"/>
      <c r="H102" s="144"/>
    </row>
    <row r="103">
      <c r="A103" s="211" t="s">
        <v>61</v>
      </c>
      <c r="B103" s="212">
        <f>ROUND(MeanDomesticGasBill*(1-B101)*gasPriceP/100,-1)</f>
        <v>40</v>
      </c>
      <c r="C103" s="213">
        <f>ROUND(MeanDomesticGasBill*(1-C101)*gasPriceP/100,-1)</f>
        <v>60</v>
      </c>
      <c r="D103" s="214">
        <f>ROUND(MeanDomesticGasBill*(1-D101)*gasPriceP/100,-1)</f>
        <v>70</v>
      </c>
      <c r="E103" s="215" t="s">
        <v>63</v>
      </c>
      <c r="F103" s="186"/>
      <c r="G103" s="186"/>
      <c r="H103" s="216"/>
    </row>
    <row r="106">
      <c r="A106" s="226" t="s">
        <v>86</v>
      </c>
      <c r="B106" s="227"/>
      <c r="C106" s="228"/>
      <c r="D106" s="228"/>
      <c r="E106" s="227"/>
      <c r="F106" s="228"/>
      <c r="G106" s="228"/>
      <c r="H106" s="227"/>
    </row>
    <row r="107">
      <c r="A107" s="229" t="s">
        <v>87</v>
      </c>
      <c r="B107" s="188">
        <f t="array" ref="B107">INDEX(Summary!B$5:B$33,MATCH($J107,Summary!$A$5:$A$33,0))</f>
        <v>610</v>
      </c>
      <c r="C107" s="189">
        <f t="array" ref="C107">INDEX(Summary!C$5:C$33,MATCH($J107,Summary!$A$5:$A$33,0))</f>
        <v>940</v>
      </c>
      <c r="D107" s="190">
        <f t="array" ref="D107">INDEX(Summary!D$5:D$33,MATCH($J107,Summary!$A$5:$A$33,0))</f>
        <v>1030</v>
      </c>
      <c r="E107" s="188" t="str">
        <f t="array" ref="E107">INDEX(Summary!AJ$5:AJ$33,MATCH($J107,Summary!$A$5:$A$33,0))</f>
        <v>Multiply</v>
      </c>
      <c r="F107" s="191">
        <f>IF($E107="Multiply",(1-B107/MeanDomesticGasBill),1)</f>
        <v>0.9480129737</v>
      </c>
      <c r="G107" s="191">
        <f>IF($E107="Multiply",(1-C107/MeanDomesticGasBill),1)</f>
        <v>0.9198888447</v>
      </c>
      <c r="H107" s="192">
        <f>IF($E107="Multiply",(1-D107/MeanDomesticGasBill),1)</f>
        <v>0.9122186277</v>
      </c>
      <c r="J107" s="230" t="s">
        <v>88</v>
      </c>
    </row>
    <row r="108">
      <c r="A108" s="233" t="s">
        <v>89</v>
      </c>
      <c r="B108" s="195">
        <f t="array" ref="B108">INDEX(Summary!B$5:B$33,MATCH($J108,Summary!$A$5:$A$33,0))</f>
        <v>100</v>
      </c>
      <c r="C108" s="196">
        <f t="array" ref="C108">INDEX(Summary!C$5:C$33,MATCH($J108,Summary!$A$5:$A$33,0))</f>
        <v>250</v>
      </c>
      <c r="D108" s="197">
        <f t="array" ref="D108">INDEX(Summary!D$5:D$33,MATCH($J108,Summary!$A$5:$A$33,0))</f>
        <v>460</v>
      </c>
      <c r="E108" s="195" t="str">
        <f t="array" ref="E108">INDEX(Summary!AJ$5:AJ$33,MATCH($J108,Summary!$A$5:$A$33,0))</f>
        <v>Add</v>
      </c>
      <c r="F108" s="198">
        <f>IF($E108="Multiply",(1-B108/MeanDomesticGasBill),1)</f>
        <v>1</v>
      </c>
      <c r="G108" s="198">
        <f>IF($E108="Multiply",(1-C108/MeanDomesticGasBill),1)</f>
        <v>1</v>
      </c>
      <c r="H108" s="199">
        <f>IF($E108="Multiply",(1-D108/MeanDomesticGasBill),1)</f>
        <v>1</v>
      </c>
      <c r="J108" s="230" t="s">
        <v>89</v>
      </c>
    </row>
    <row r="109">
      <c r="A109" s="231" t="s">
        <v>76</v>
      </c>
      <c r="B109" s="195">
        <f t="array" ref="B109">INDEX(Summary!B$5:B$33,MATCH($J109,Summary!$A$5:$A$33,0))</f>
        <v>820</v>
      </c>
      <c r="C109" s="196">
        <f t="array" ref="C109">INDEX(Summary!C$5:C$33,MATCH($J109,Summary!$A$5:$A$33,0))</f>
        <v>1270</v>
      </c>
      <c r="D109" s="197">
        <f t="array" ref="D109">INDEX(Summary!D$5:D$33,MATCH($J109,Summary!$A$5:$A$33,0))</f>
        <v>1720</v>
      </c>
      <c r="E109" s="195" t="str">
        <f t="array" ref="E109">INDEX(Summary!AJ$5:AJ$33,MATCH($J109,Summary!$A$5:$A$33,0))</f>
        <v>Multiply</v>
      </c>
      <c r="F109" s="198">
        <f>IF($E109="Multiply",(1-B109/MeanDomesticGasBill),1)</f>
        <v>0.9301158007</v>
      </c>
      <c r="G109" s="198">
        <f>IF($E109="Multiply",(1-C109/MeanDomesticGasBill),1)</f>
        <v>0.8917647157</v>
      </c>
      <c r="H109" s="199">
        <f>IF($E109="Multiply",(1-D109/MeanDomesticGasBill),1)</f>
        <v>0.8534136308</v>
      </c>
      <c r="J109" s="230" t="s">
        <v>76</v>
      </c>
    </row>
    <row r="110">
      <c r="A110" s="146"/>
      <c r="B110" s="142"/>
      <c r="C110" s="143"/>
      <c r="D110" s="144"/>
      <c r="E110" s="142"/>
      <c r="F110" s="143"/>
      <c r="G110" s="143"/>
      <c r="H110" s="144"/>
    </row>
    <row r="111">
      <c r="A111" s="146" t="s">
        <v>57</v>
      </c>
      <c r="B111" s="201">
        <f t="shared" ref="B111:D111" si="25">SUMIFS(B107:B109,$E107:$E109,"Add")</f>
        <v>100</v>
      </c>
      <c r="C111" s="202">
        <f t="shared" si="25"/>
        <v>250</v>
      </c>
      <c r="D111" s="203">
        <f t="shared" si="25"/>
        <v>460</v>
      </c>
      <c r="E111" s="204" t="s">
        <v>58</v>
      </c>
      <c r="F111" s="143"/>
      <c r="G111" s="143"/>
      <c r="H111" s="144"/>
      <c r="K111" s="232" t="s">
        <v>76</v>
      </c>
    </row>
    <row r="112">
      <c r="A112" s="146" t="s">
        <v>59</v>
      </c>
      <c r="B112" s="205">
        <f>1-B111/MeanDomesticGasBill</f>
        <v>0.9914775367</v>
      </c>
      <c r="C112" s="206">
        <f>1-C111/MeanDomesticGasBill</f>
        <v>0.9786938417</v>
      </c>
      <c r="D112" s="207">
        <f>1-D111/MeanDomesticGasBill</f>
        <v>0.9607966687</v>
      </c>
      <c r="E112" s="142"/>
      <c r="F112" s="143"/>
      <c r="G112" s="143"/>
      <c r="H112" s="144"/>
      <c r="K112" s="232" t="s">
        <v>56</v>
      </c>
    </row>
    <row r="113">
      <c r="A113" s="146" t="s">
        <v>60</v>
      </c>
      <c r="B113" s="205">
        <f t="shared" ref="B113:D113" si="26">PRODUCT(B112,F107:F109)</f>
        <v>0.8742470631</v>
      </c>
      <c r="C113" s="206">
        <f t="shared" si="26"/>
        <v>0.8028464523</v>
      </c>
      <c r="D113" s="207">
        <f t="shared" si="26"/>
        <v>0.7479800251</v>
      </c>
      <c r="E113" s="142"/>
      <c r="F113" s="143"/>
      <c r="G113" s="143"/>
      <c r="H113" s="144"/>
    </row>
    <row r="114">
      <c r="A114" s="208" t="s">
        <v>61</v>
      </c>
      <c r="B114" s="209">
        <f t="shared" ref="B114:D114" si="27">1-B113</f>
        <v>0.1257529369</v>
      </c>
      <c r="C114" s="210">
        <f t="shared" si="27"/>
        <v>0.1971535477</v>
      </c>
      <c r="D114" s="210">
        <f t="shared" si="27"/>
        <v>0.2520199749</v>
      </c>
      <c r="E114" s="204" t="s">
        <v>62</v>
      </c>
      <c r="F114" s="143"/>
      <c r="G114" s="143"/>
      <c r="H114" s="144"/>
    </row>
    <row r="115">
      <c r="A115" s="211" t="s">
        <v>61</v>
      </c>
      <c r="B115" s="212">
        <f>ROUND(MeanDomesticGasBill*(1-B113)*gasPriceP/100,-1)</f>
        <v>100</v>
      </c>
      <c r="C115" s="213">
        <f>ROUND(MeanDomesticGasBill*(1-C113)*gasPriceP/100,-1)</f>
        <v>160</v>
      </c>
      <c r="D115" s="214">
        <f>ROUND(MeanDomesticGasBill*(1-D113)*gasPriceP/100,-1)</f>
        <v>200</v>
      </c>
      <c r="E115" s="215" t="s">
        <v>63</v>
      </c>
      <c r="F115" s="186"/>
      <c r="G115" s="186"/>
      <c r="H115" s="216"/>
    </row>
  </sheetData>
  <mergeCells count="4">
    <mergeCell ref="B4:D4"/>
    <mergeCell ref="F4:H4"/>
    <mergeCell ref="A67:H67"/>
    <mergeCell ref="A68:H68"/>
  </mergeCells>
  <printOptions/>
  <pageMargins bottom="0.75" footer="0.0" header="0.0" left="0.7" right="0.7" top="0.75"/>
  <pageSetup paperSize="9"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9.33"/>
    <col customWidth="1" min="2" max="2" width="12.0"/>
    <col customWidth="1" min="3" max="3" width="13.44"/>
    <col customWidth="1" min="4" max="5" width="10.44"/>
    <col customWidth="1" min="6" max="6" width="20.33"/>
    <col customWidth="1" min="7" max="10" width="10.44"/>
    <col customWidth="1" min="11" max="11" width="14.44"/>
    <col customWidth="1" min="12" max="19" width="10.44"/>
    <col customWidth="1" min="20" max="20" width="19.44"/>
    <col customWidth="1" min="21" max="26" width="10.44"/>
  </cols>
  <sheetData>
    <row r="1">
      <c r="A1" s="109" t="s">
        <v>90</v>
      </c>
      <c r="B1" s="18"/>
      <c r="C1" s="18"/>
      <c r="D1" s="18"/>
      <c r="E1" s="18"/>
      <c r="F1" s="18"/>
      <c r="G1" s="18"/>
      <c r="H1" s="18"/>
      <c r="I1" s="18"/>
      <c r="J1" s="18"/>
    </row>
    <row r="2">
      <c r="A2" s="109" t="s">
        <v>91</v>
      </c>
      <c r="B2" s="18"/>
      <c r="C2" s="18"/>
      <c r="D2" s="18"/>
      <c r="E2" s="18"/>
      <c r="F2" s="18"/>
      <c r="G2" s="18"/>
      <c r="H2" s="18"/>
      <c r="I2" s="18"/>
      <c r="J2" s="18"/>
    </row>
    <row r="3">
      <c r="A3" s="234" t="s">
        <v>92</v>
      </c>
    </row>
    <row r="4">
      <c r="A4" s="234" t="s">
        <v>93</v>
      </c>
    </row>
    <row r="5">
      <c r="A5" s="234" t="s">
        <v>94</v>
      </c>
    </row>
    <row r="6">
      <c r="A6" s="234" t="s">
        <v>95</v>
      </c>
    </row>
    <row r="7">
      <c r="A7" s="234" t="s">
        <v>96</v>
      </c>
    </row>
    <row r="8">
      <c r="A8" s="234" t="s">
        <v>97</v>
      </c>
    </row>
    <row r="9">
      <c r="A9" s="234"/>
    </row>
    <row r="10">
      <c r="A10" s="235" t="s">
        <v>98</v>
      </c>
    </row>
    <row r="11">
      <c r="A11" s="109" t="s">
        <v>99</v>
      </c>
      <c r="B11" s="180" t="s">
        <v>100</v>
      </c>
      <c r="C11" s="20"/>
      <c r="D11" s="21"/>
      <c r="E11" s="180" t="s">
        <v>101</v>
      </c>
      <c r="F11" s="20"/>
      <c r="G11" s="21"/>
      <c r="H11" s="236" t="s">
        <v>102</v>
      </c>
      <c r="I11" s="20"/>
      <c r="J11" s="21"/>
    </row>
    <row r="12">
      <c r="A12" s="18"/>
      <c r="B12" s="237" t="s">
        <v>24</v>
      </c>
      <c r="C12" s="238" t="s">
        <v>25</v>
      </c>
      <c r="D12" s="239" t="s">
        <v>26</v>
      </c>
      <c r="E12" s="237" t="s">
        <v>24</v>
      </c>
      <c r="F12" s="238" t="s">
        <v>25</v>
      </c>
      <c r="G12" s="239" t="s">
        <v>26</v>
      </c>
      <c r="H12" s="240" t="s">
        <v>24</v>
      </c>
      <c r="I12" s="238" t="s">
        <v>25</v>
      </c>
      <c r="J12" s="239" t="s">
        <v>26</v>
      </c>
    </row>
    <row r="13">
      <c r="A13" s="241" t="s">
        <v>21</v>
      </c>
      <c r="B13" s="242">
        <v>0.0132</v>
      </c>
      <c r="C13" s="243">
        <v>0.0159</v>
      </c>
      <c r="D13" s="244">
        <v>0.0192</v>
      </c>
      <c r="E13" s="242">
        <v>0.009</v>
      </c>
      <c r="F13" s="243">
        <v>0.0115</v>
      </c>
      <c r="G13" s="244">
        <v>0.0151</v>
      </c>
      <c r="H13" s="245">
        <v>0.0098</v>
      </c>
      <c r="I13" s="245">
        <v>0.0126</v>
      </c>
      <c r="J13" s="246">
        <v>0.0166</v>
      </c>
    </row>
    <row r="14">
      <c r="A14" s="241" t="s">
        <v>22</v>
      </c>
      <c r="B14" s="242">
        <v>0.0187</v>
      </c>
      <c r="C14" s="243">
        <v>0.0212</v>
      </c>
      <c r="D14" s="244">
        <v>0.0252</v>
      </c>
      <c r="E14" s="242">
        <v>0.0117</v>
      </c>
      <c r="F14" s="243">
        <v>0.0147</v>
      </c>
      <c r="G14" s="244">
        <v>0.0186</v>
      </c>
      <c r="H14" s="245">
        <v>0.0131</v>
      </c>
      <c r="I14" s="245">
        <v>0.0169</v>
      </c>
      <c r="J14" s="246">
        <v>0.0217</v>
      </c>
    </row>
    <row r="15">
      <c r="A15" s="241" t="s">
        <v>103</v>
      </c>
      <c r="B15" s="247">
        <v>0.001</v>
      </c>
      <c r="C15" s="248">
        <v>0.0017</v>
      </c>
      <c r="D15" s="249">
        <v>0.002</v>
      </c>
      <c r="E15" s="247">
        <v>6.0E-4</v>
      </c>
      <c r="F15" s="248">
        <v>0.001</v>
      </c>
      <c r="G15" s="249">
        <v>0.0011</v>
      </c>
      <c r="H15" s="250">
        <v>7.0E-4</v>
      </c>
      <c r="I15" s="250">
        <v>0.0011</v>
      </c>
      <c r="J15" s="251">
        <v>0.0013</v>
      </c>
      <c r="K15" s="217" t="s">
        <v>104</v>
      </c>
    </row>
    <row r="16">
      <c r="A16" s="241" t="s">
        <v>105</v>
      </c>
      <c r="B16" s="252">
        <v>0.0055</v>
      </c>
      <c r="C16" s="253">
        <v>0.0094</v>
      </c>
      <c r="D16" s="254">
        <v>0.0145</v>
      </c>
      <c r="E16" s="252">
        <v>0.0028</v>
      </c>
      <c r="F16" s="253">
        <v>0.0057</v>
      </c>
      <c r="G16" s="254">
        <v>0.0074</v>
      </c>
      <c r="H16" s="255">
        <v>0.0032</v>
      </c>
      <c r="I16" s="255">
        <v>0.0067</v>
      </c>
      <c r="J16" s="256">
        <v>0.0093</v>
      </c>
    </row>
    <row r="17"/>
    <row r="18">
      <c r="A18" s="217" t="s">
        <v>106</v>
      </c>
      <c r="H18" s="257"/>
      <c r="I18" s="257"/>
      <c r="J18" s="257"/>
      <c r="K18" s="257"/>
      <c r="L18" s="257"/>
      <c r="M18" s="257"/>
    </row>
    <row r="19">
      <c r="A19" s="109" t="s">
        <v>107</v>
      </c>
      <c r="B19" s="180" t="s">
        <v>100</v>
      </c>
      <c r="C19" s="258" t="s">
        <v>101</v>
      </c>
      <c r="D19" s="259"/>
      <c r="E19" s="260"/>
      <c r="G19" s="259"/>
    </row>
    <row r="20">
      <c r="A20" s="261" t="s">
        <v>108</v>
      </c>
      <c r="B20" s="247">
        <v>0.014</v>
      </c>
      <c r="C20" s="249">
        <v>0.012</v>
      </c>
    </row>
    <row r="21">
      <c r="A21" s="57" t="s">
        <v>109</v>
      </c>
      <c r="B21" s="262">
        <f>C13</f>
        <v>0.0159</v>
      </c>
      <c r="C21" s="263">
        <f>F13</f>
        <v>0.0115</v>
      </c>
    </row>
    <row r="22">
      <c r="B22" s="264"/>
      <c r="C22" s="264"/>
    </row>
    <row r="23">
      <c r="B23" s="264"/>
      <c r="C23" s="264"/>
    </row>
    <row r="24">
      <c r="B24" s="264"/>
      <c r="C24" s="264"/>
    </row>
    <row r="25">
      <c r="B25" s="264"/>
      <c r="C25" s="264"/>
    </row>
    <row r="26">
      <c r="B26" s="264"/>
      <c r="C26" s="264"/>
    </row>
    <row r="27">
      <c r="B27" s="264"/>
      <c r="C27" s="264"/>
    </row>
    <row r="28">
      <c r="B28" s="264"/>
      <c r="C28" s="264"/>
    </row>
    <row r="29">
      <c r="B29" s="264"/>
      <c r="C29" s="264"/>
    </row>
    <row r="30">
      <c r="A30" s="265"/>
      <c r="B30" s="266"/>
    </row>
    <row r="31">
      <c r="A31" s="109" t="s">
        <v>110</v>
      </c>
      <c r="B31" s="267" t="s">
        <v>24</v>
      </c>
      <c r="C31" s="268" t="s">
        <v>25</v>
      </c>
      <c r="D31" s="269" t="s">
        <v>26</v>
      </c>
    </row>
    <row r="32">
      <c r="A32" s="261" t="s">
        <v>111</v>
      </c>
      <c r="B32" s="270">
        <f t="shared" ref="B32:D32" si="1">H13</f>
        <v>0.0098</v>
      </c>
      <c r="C32" s="271">
        <f t="shared" si="1"/>
        <v>0.0126</v>
      </c>
      <c r="D32" s="272">
        <f t="shared" si="1"/>
        <v>0.0166</v>
      </c>
      <c r="E32" s="265"/>
      <c r="F32" s="273"/>
    </row>
    <row r="33">
      <c r="A33" s="261" t="s">
        <v>112</v>
      </c>
      <c r="B33" s="270">
        <f t="shared" ref="B33:D33" si="2">H14</f>
        <v>0.0131</v>
      </c>
      <c r="C33" s="271">
        <f t="shared" si="2"/>
        <v>0.0169</v>
      </c>
      <c r="D33" s="272">
        <f t="shared" si="2"/>
        <v>0.0217</v>
      </c>
      <c r="E33" s="274" t="s">
        <v>113</v>
      </c>
      <c r="F33" s="273"/>
    </row>
    <row r="34">
      <c r="A34" s="261" t="s">
        <v>114</v>
      </c>
      <c r="B34" s="262">
        <f t="shared" ref="B34:D34" si="3">H16</f>
        <v>0.0032</v>
      </c>
      <c r="C34" s="275">
        <f t="shared" si="3"/>
        <v>0.0067</v>
      </c>
      <c r="D34" s="263">
        <f t="shared" si="3"/>
        <v>0.0093</v>
      </c>
      <c r="E34" s="276"/>
      <c r="F34" s="273"/>
    </row>
    <row r="35">
      <c r="A35" s="277"/>
      <c r="E35" s="265"/>
    </row>
    <row r="36">
      <c r="A36" s="109" t="s">
        <v>115</v>
      </c>
      <c r="B36" s="278" t="s">
        <v>116</v>
      </c>
      <c r="C36" s="20"/>
      <c r="D36" s="21"/>
      <c r="E36" s="278" t="s">
        <v>117</v>
      </c>
      <c r="F36" s="20"/>
      <c r="G36" s="21"/>
      <c r="H36" s="279" t="s">
        <v>118</v>
      </c>
    </row>
    <row r="37">
      <c r="A37" s="109"/>
      <c r="B37" s="237" t="s">
        <v>24</v>
      </c>
      <c r="C37" s="238" t="s">
        <v>25</v>
      </c>
      <c r="D37" s="239" t="s">
        <v>26</v>
      </c>
      <c r="E37" s="237" t="s">
        <v>24</v>
      </c>
      <c r="F37" s="238" t="s">
        <v>25</v>
      </c>
      <c r="G37" s="239" t="s">
        <v>26</v>
      </c>
      <c r="H37" s="280"/>
    </row>
    <row r="38">
      <c r="A38" s="281" t="s">
        <v>111</v>
      </c>
      <c r="B38" s="282">
        <f>B32*MeanDomesticGasBill</f>
        <v>114.9902279</v>
      </c>
      <c r="C38" s="283">
        <f>C32*MeanDomesticGasBill</f>
        <v>147.8445787</v>
      </c>
      <c r="D38" s="284">
        <f>D32*MeanDomesticGasBill</f>
        <v>194.7793656</v>
      </c>
      <c r="E38" s="285">
        <f>ROUND(B38*gasPriceP/100,0)</f>
        <v>8</v>
      </c>
      <c r="F38" s="286">
        <f>ROUND(C38*gasPriceP/100,0)</f>
        <v>10</v>
      </c>
      <c r="G38" s="287">
        <f>ROUND(D38*gasPriceP/100,0)</f>
        <v>13</v>
      </c>
      <c r="H38" s="288">
        <f>propHomesGasHeating</f>
        <v>0.8355968183</v>
      </c>
    </row>
    <row r="39">
      <c r="A39" s="289" t="s">
        <v>119</v>
      </c>
      <c r="B39" s="282">
        <f>B33*MeanDomesticOilBill</f>
        <v>257.210372</v>
      </c>
      <c r="C39" s="283">
        <f>C33*MeanDomesticOilBill</f>
        <v>331.8210143</v>
      </c>
      <c r="D39" s="284">
        <f>D33*MeanDomesticOilBill</f>
        <v>426.0660361</v>
      </c>
      <c r="E39" s="285">
        <f>ROUND(B39*oilPriceP/100,0)</f>
        <v>25</v>
      </c>
      <c r="F39" s="286">
        <f>ROUND(C39*oilPriceP/100,0)</f>
        <v>32</v>
      </c>
      <c r="G39" s="287">
        <f>ROUND(D39*oilPriceP/100,0)</f>
        <v>41</v>
      </c>
      <c r="H39" s="288">
        <f t="array" ref="H39">propHomesOilHeating</f>
        <v>0.05364110283</v>
      </c>
    </row>
    <row r="40">
      <c r="A40" s="281" t="s">
        <v>120</v>
      </c>
      <c r="B40" s="282">
        <f>B34*MeanDomesticElectricHeatingBill</f>
        <v>24.1421064</v>
      </c>
      <c r="C40" s="283">
        <f>C34*MeanDomesticElectricHeatingBill</f>
        <v>50.54753527</v>
      </c>
      <c r="D40" s="284">
        <f>D34*MeanDomesticElectricHeatingBill</f>
        <v>70.16299672</v>
      </c>
      <c r="E40" s="285">
        <f>ROUND(B40*electricityPriceP/100,0)</f>
        <v>7</v>
      </c>
      <c r="F40" s="286">
        <f>ROUND(C40*electricityPriceP/100,0)</f>
        <v>14</v>
      </c>
      <c r="G40" s="287">
        <f>ROUND(D40*electricityPriceP/100,0)</f>
        <v>19</v>
      </c>
      <c r="H40" s="288">
        <f t="array" ref="H40">propHomesOtherElectricHeaters</f>
        <v>0.02936871602</v>
      </c>
    </row>
    <row r="41">
      <c r="A41" s="290" t="s">
        <v>121</v>
      </c>
      <c r="B41" s="291"/>
      <c r="C41" s="292"/>
      <c r="D41" s="293"/>
      <c r="E41" s="294">
        <f t="shared" ref="E41:G41" si="4">SUMPRODUCT(E38:E40,$H38:$H40)/SUM($H38:$H40)</f>
        <v>8.960726819</v>
      </c>
      <c r="F41" s="295">
        <f t="shared" si="4"/>
        <v>11.41255144</v>
      </c>
      <c r="G41" s="296">
        <f t="shared" si="4"/>
        <v>14.82685723</v>
      </c>
      <c r="H41" s="297"/>
    </row>
    <row r="42">
      <c r="A42" s="265"/>
      <c r="B42" s="298"/>
      <c r="C42" s="266"/>
      <c r="D42" s="266"/>
      <c r="E42" s="265"/>
    </row>
    <row r="43">
      <c r="A43" s="265"/>
      <c r="B43" s="298"/>
    </row>
    <row r="44">
      <c r="A44" s="109" t="s">
        <v>122</v>
      </c>
      <c r="B44" s="267" t="s">
        <v>24</v>
      </c>
      <c r="C44" s="268" t="s">
        <v>25</v>
      </c>
      <c r="D44" s="269" t="s">
        <v>26</v>
      </c>
    </row>
    <row r="45">
      <c r="A45" s="261" t="s">
        <v>123</v>
      </c>
      <c r="B45" s="299">
        <v>0.1</v>
      </c>
      <c r="C45" s="300">
        <v>0.2</v>
      </c>
      <c r="D45" s="301">
        <v>0.3</v>
      </c>
      <c r="E45" s="30" t="s">
        <v>124</v>
      </c>
    </row>
    <row r="46">
      <c r="A46" s="261" t="s">
        <v>125</v>
      </c>
      <c r="B46" s="270">
        <f t="shared" ref="B46:D46" si="5">B$45*$H38</f>
        <v>0.08355968183</v>
      </c>
      <c r="C46" s="271">
        <f t="shared" si="5"/>
        <v>0.1671193637</v>
      </c>
      <c r="D46" s="272">
        <f t="shared" si="5"/>
        <v>0.2506790455</v>
      </c>
      <c r="E46" s="302"/>
      <c r="G46" s="303">
        <f>C46*numberDwellingsUK/1000</f>
        <v>4705.048316</v>
      </c>
    </row>
    <row r="47">
      <c r="A47" s="261" t="s">
        <v>126</v>
      </c>
      <c r="B47" s="270">
        <f t="shared" ref="B47:D47" si="6">B$45*$H39</f>
        <v>0.005364110283</v>
      </c>
      <c r="C47" s="271">
        <f t="shared" si="6"/>
        <v>0.01072822057</v>
      </c>
      <c r="D47" s="272">
        <f t="shared" si="6"/>
        <v>0.01609233085</v>
      </c>
      <c r="E47" s="302"/>
      <c r="G47" s="303">
        <f>C47*numberDwellingsUK/1000</f>
        <v>302.04038</v>
      </c>
    </row>
    <row r="48">
      <c r="A48" s="261" t="s">
        <v>127</v>
      </c>
      <c r="B48" s="270">
        <f t="shared" ref="B48:D48" si="7">B$45*$H40</f>
        <v>0.002936871602</v>
      </c>
      <c r="C48" s="271">
        <f t="shared" si="7"/>
        <v>0.005873743204</v>
      </c>
      <c r="D48" s="272">
        <f t="shared" si="7"/>
        <v>0.008810614806</v>
      </c>
      <c r="E48" s="302"/>
      <c r="G48" s="303">
        <f>C48*numberDwellingsUK/1000</f>
        <v>165.368303</v>
      </c>
    </row>
    <row r="49">
      <c r="A49" s="121" t="s">
        <v>128</v>
      </c>
      <c r="B49" s="304">
        <f t="shared" ref="B49:D49" si="8">SUM(B46:B48)</f>
        <v>0.09186066372</v>
      </c>
      <c r="C49" s="305">
        <f t="shared" si="8"/>
        <v>0.1837213274</v>
      </c>
      <c r="D49" s="306">
        <f t="shared" si="8"/>
        <v>0.2755819912</v>
      </c>
    </row>
    <row r="51">
      <c r="A51" s="109" t="s">
        <v>129</v>
      </c>
      <c r="B51" s="267" t="s">
        <v>24</v>
      </c>
      <c r="C51" s="268" t="s">
        <v>25</v>
      </c>
      <c r="D51" s="269" t="s">
        <v>26</v>
      </c>
    </row>
    <row r="52">
      <c r="A52" s="261" t="s">
        <v>130</v>
      </c>
      <c r="B52" s="85">
        <f>ROUND(TotalDomesticGasKwh*B32*B$45*carbonGasPerkWh/1000000,0)</f>
        <v>50</v>
      </c>
      <c r="C52" s="86">
        <f>ROUND(TotalDomesticGasKwh*C32*C$45*carbonGasPerkWh/1000000,0)</f>
        <v>128</v>
      </c>
      <c r="D52" s="87">
        <f>ROUND(TotalDomesticGasKwh*D32*D$45*carbonGasPerkWh/1000000,0)</f>
        <v>253</v>
      </c>
      <c r="E52" s="217" t="s">
        <v>131</v>
      </c>
    </row>
    <row r="53">
      <c r="A53" s="57" t="s">
        <v>132</v>
      </c>
      <c r="B53" s="85">
        <f>ROUND(TotalDomesticOilkWh*B33*B45*carbonOilPerkWh/1000000,0)</f>
        <v>10</v>
      </c>
      <c r="C53" s="86">
        <f>ROUND(TotalDomesticOilkWh*C33*C45*carbonOilPerkWh/1000000,0)</f>
        <v>27</v>
      </c>
      <c r="D53" s="87">
        <f>ROUND(TotalDomesticOilkWh*D33*D45*carbonOilPerkWh/1000000,0)</f>
        <v>52</v>
      </c>
      <c r="E53" s="217" t="s">
        <v>131</v>
      </c>
    </row>
    <row r="54">
      <c r="A54" s="57" t="s">
        <v>133</v>
      </c>
      <c r="B54" s="85">
        <f>ROUND(TotalOtherElectrickWh*B34*B$45*carbonElectricitryPerkWh/1000000,0)</f>
        <v>0</v>
      </c>
      <c r="C54" s="86">
        <f>ROUND(TotalOtherElectrickWh*C34*C$45*carbonElectricitryPerkWh/1000000,0)</f>
        <v>2</v>
      </c>
      <c r="D54" s="87">
        <f>ROUND(TotalOtherElectrickWh*D34*D$45*carbonElectricitryPerkWh/1000000,0)</f>
        <v>3</v>
      </c>
      <c r="E54" s="217" t="s">
        <v>131</v>
      </c>
    </row>
    <row r="55">
      <c r="A55" s="141" t="s">
        <v>128</v>
      </c>
      <c r="B55" s="294">
        <f t="shared" ref="B55:D55" si="9">SUM(B52:B54)</f>
        <v>60</v>
      </c>
      <c r="C55" s="295">
        <f t="shared" si="9"/>
        <v>157</v>
      </c>
      <c r="D55" s="296">
        <f t="shared" si="9"/>
        <v>308</v>
      </c>
      <c r="E55" s="217" t="s">
        <v>131</v>
      </c>
    </row>
    <row r="57">
      <c r="A57" s="307" t="s">
        <v>3</v>
      </c>
      <c r="B57" s="308" t="s">
        <v>14</v>
      </c>
      <c r="C57" s="178"/>
      <c r="D57" s="179"/>
      <c r="E57" s="308" t="s">
        <v>134</v>
      </c>
      <c r="F57" s="178"/>
      <c r="G57" s="179"/>
      <c r="H57" s="309" t="s">
        <v>135</v>
      </c>
      <c r="I57" s="178"/>
      <c r="J57" s="179"/>
      <c r="K57" s="310" t="s">
        <v>18</v>
      </c>
    </row>
    <row r="58">
      <c r="A58" s="57"/>
      <c r="B58" s="311" t="s">
        <v>24</v>
      </c>
      <c r="C58" s="312" t="s">
        <v>25</v>
      </c>
      <c r="D58" s="313" t="s">
        <v>26</v>
      </c>
      <c r="E58" s="311" t="s">
        <v>24</v>
      </c>
      <c r="F58" s="312" t="s">
        <v>25</v>
      </c>
      <c r="G58" s="313" t="s">
        <v>26</v>
      </c>
      <c r="H58" s="311" t="s">
        <v>24</v>
      </c>
      <c r="I58" s="312" t="s">
        <v>25</v>
      </c>
      <c r="J58" s="313" t="s">
        <v>26</v>
      </c>
      <c r="K58" s="314"/>
    </row>
    <row r="59">
      <c r="A59" s="315" t="s">
        <v>136</v>
      </c>
      <c r="B59" s="316">
        <f t="shared" ref="B59:D59" si="10">E41</f>
        <v>8.960726819</v>
      </c>
      <c r="C59" s="317">
        <f t="shared" si="10"/>
        <v>11.41255144</v>
      </c>
      <c r="D59" s="318">
        <f t="shared" si="10"/>
        <v>14.82685723</v>
      </c>
      <c r="E59" s="162">
        <f t="shared" ref="E59:G59" si="11">B49</f>
        <v>0.09186066372</v>
      </c>
      <c r="F59" s="163">
        <f t="shared" si="11"/>
        <v>0.1837213274</v>
      </c>
      <c r="G59" s="164">
        <f t="shared" si="11"/>
        <v>0.2755819912</v>
      </c>
      <c r="H59" s="316">
        <f t="shared" ref="H59:J59" si="12">B55</f>
        <v>60</v>
      </c>
      <c r="I59" s="317">
        <f t="shared" si="12"/>
        <v>157</v>
      </c>
      <c r="J59" s="318">
        <f t="shared" si="12"/>
        <v>308</v>
      </c>
      <c r="K59" s="319" t="s">
        <v>33</v>
      </c>
    </row>
    <row r="62" ht="17.25" customHeight="1">
      <c r="A62" s="109" t="s">
        <v>3</v>
      </c>
      <c r="B62" s="308" t="s">
        <v>10</v>
      </c>
      <c r="C62" s="178"/>
      <c r="D62" s="178"/>
      <c r="E62" s="178"/>
      <c r="F62" s="178"/>
      <c r="G62" s="178"/>
      <c r="H62" s="178"/>
      <c r="I62" s="178"/>
      <c r="J62" s="179"/>
      <c r="K62" s="308" t="s">
        <v>137</v>
      </c>
      <c r="L62" s="178"/>
      <c r="M62" s="178"/>
      <c r="N62" s="178"/>
      <c r="O62" s="178"/>
      <c r="P62" s="178"/>
      <c r="Q62" s="178"/>
      <c r="R62" s="178"/>
      <c r="S62" s="179"/>
      <c r="T62" s="320" t="s">
        <v>138</v>
      </c>
    </row>
    <row r="63">
      <c r="A63" s="261"/>
      <c r="B63" s="40" t="s">
        <v>21</v>
      </c>
      <c r="C63" s="41"/>
      <c r="D63" s="42"/>
      <c r="E63" s="40" t="s">
        <v>22</v>
      </c>
      <c r="F63" s="41"/>
      <c r="G63" s="42"/>
      <c r="H63" s="43" t="s">
        <v>23</v>
      </c>
      <c r="I63" s="44"/>
      <c r="J63" s="44"/>
      <c r="K63" s="40" t="s">
        <v>21</v>
      </c>
      <c r="L63" s="41"/>
      <c r="M63" s="42"/>
      <c r="N63" s="40" t="s">
        <v>22</v>
      </c>
      <c r="O63" s="41"/>
      <c r="P63" s="42"/>
      <c r="Q63" s="43" t="s">
        <v>23</v>
      </c>
      <c r="R63" s="44"/>
      <c r="S63" s="45"/>
      <c r="T63" s="321"/>
    </row>
    <row r="64">
      <c r="A64" s="261"/>
      <c r="B64" s="58" t="s">
        <v>24</v>
      </c>
      <c r="C64" s="54" t="s">
        <v>25</v>
      </c>
      <c r="D64" s="55" t="s">
        <v>26</v>
      </c>
      <c r="E64" s="58" t="s">
        <v>24</v>
      </c>
      <c r="F64" s="54" t="s">
        <v>25</v>
      </c>
      <c r="G64" s="55" t="s">
        <v>26</v>
      </c>
      <c r="H64" s="58" t="s">
        <v>24</v>
      </c>
      <c r="I64" s="54" t="s">
        <v>25</v>
      </c>
      <c r="J64" s="54" t="s">
        <v>26</v>
      </c>
      <c r="K64" s="58" t="s">
        <v>24</v>
      </c>
      <c r="L64" s="54" t="s">
        <v>25</v>
      </c>
      <c r="M64" s="55" t="s">
        <v>26</v>
      </c>
      <c r="N64" s="58" t="s">
        <v>24</v>
      </c>
      <c r="O64" s="54" t="s">
        <v>25</v>
      </c>
      <c r="P64" s="55" t="s">
        <v>26</v>
      </c>
      <c r="Q64" s="58" t="s">
        <v>24</v>
      </c>
      <c r="R64" s="54" t="s">
        <v>25</v>
      </c>
      <c r="S64" s="55" t="s">
        <v>26</v>
      </c>
      <c r="T64" s="321"/>
    </row>
    <row r="65">
      <c r="A65" s="315" t="s">
        <v>136</v>
      </c>
      <c r="B65" s="322">
        <f t="shared" ref="B65:D65" si="13">B38</f>
        <v>114.9902279</v>
      </c>
      <c r="C65" s="323">
        <f t="shared" si="13"/>
        <v>147.8445787</v>
      </c>
      <c r="D65" s="324">
        <f t="shared" si="13"/>
        <v>194.7793656</v>
      </c>
      <c r="E65" s="322">
        <f t="shared" ref="E65:G65" si="14">B39</f>
        <v>257.210372</v>
      </c>
      <c r="F65" s="323">
        <f t="shared" si="14"/>
        <v>331.8210143</v>
      </c>
      <c r="G65" s="324">
        <f t="shared" si="14"/>
        <v>426.0660361</v>
      </c>
      <c r="H65" s="322">
        <f t="shared" ref="H65:J65" si="15">B40</f>
        <v>24.1421064</v>
      </c>
      <c r="I65" s="323">
        <f t="shared" si="15"/>
        <v>50.54753527</v>
      </c>
      <c r="J65" s="323">
        <f t="shared" si="15"/>
        <v>70.16299672</v>
      </c>
      <c r="K65" s="116">
        <f>B46*numberDwellingsUK/1000</f>
        <v>2352.524158</v>
      </c>
      <c r="L65" s="117">
        <f>C46*numberDwellingsUK/1000</f>
        <v>4705.048316</v>
      </c>
      <c r="M65" s="118">
        <f>D46*numberDwellingsUK/1000</f>
        <v>7057.572474</v>
      </c>
      <c r="N65" s="116">
        <f>B47*numberDwellingsUK/1000</f>
        <v>151.02019</v>
      </c>
      <c r="O65" s="117">
        <f>C47*numberDwellingsUK/1000</f>
        <v>302.04038</v>
      </c>
      <c r="P65" s="118">
        <f>D47*numberDwellingsUK/1000</f>
        <v>453.06057</v>
      </c>
      <c r="Q65" s="116">
        <f>B48*numberDwellingsUK/1000</f>
        <v>82.68415151</v>
      </c>
      <c r="R65" s="117">
        <f>C48*numberDwellingsUK/1000</f>
        <v>165.368303</v>
      </c>
      <c r="S65" s="118">
        <f>D48*numberDwellingsUK/1000</f>
        <v>248.0524545</v>
      </c>
      <c r="T65" s="319" t="s">
        <v>33</v>
      </c>
    </row>
  </sheetData>
  <mergeCells count="6">
    <mergeCell ref="H36:H37"/>
    <mergeCell ref="B57:D57"/>
    <mergeCell ref="E57:G57"/>
    <mergeCell ref="H57:J57"/>
    <mergeCell ref="B62:J62"/>
    <mergeCell ref="K62:S62"/>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68.78"/>
    <col customWidth="1" min="2" max="2" width="15.44"/>
    <col customWidth="1" min="3" max="3" width="13.44"/>
    <col customWidth="1" min="4" max="4" width="12.78"/>
    <col customWidth="1" min="5" max="7" width="11.0"/>
    <col customWidth="1" min="8" max="8" width="17.33"/>
    <col customWidth="1" min="9" max="10" width="11.0"/>
    <col customWidth="1" min="11" max="11" width="16.44"/>
    <col customWidth="1" min="12" max="19" width="11.0"/>
    <col customWidth="1" min="20" max="20" width="20.33"/>
    <col customWidth="1" min="21" max="34" width="11.0"/>
  </cols>
  <sheetData>
    <row r="1">
      <c r="A1" s="109" t="s">
        <v>139</v>
      </c>
      <c r="B1" s="18"/>
      <c r="C1" s="18"/>
      <c r="D1" s="18"/>
      <c r="E1" s="18"/>
      <c r="F1" s="18"/>
      <c r="G1" s="18"/>
      <c r="H1" s="18"/>
    </row>
    <row r="2">
      <c r="A2" s="109" t="s">
        <v>140</v>
      </c>
      <c r="B2" s="18"/>
      <c r="C2" s="18"/>
      <c r="D2" s="18"/>
      <c r="E2" s="18"/>
      <c r="F2" s="18"/>
      <c r="G2" s="18"/>
      <c r="H2" s="18"/>
    </row>
    <row r="3">
      <c r="A3" s="265" t="s">
        <v>141</v>
      </c>
      <c r="E3" s="325" t="s">
        <v>142</v>
      </c>
      <c r="F3" s="281" t="s">
        <v>143</v>
      </c>
      <c r="G3" s="326" t="s">
        <v>144</v>
      </c>
      <c r="H3" s="15"/>
    </row>
    <row r="4" ht="84.75" customHeight="1">
      <c r="A4" s="265" t="s">
        <v>145</v>
      </c>
      <c r="E4" s="327"/>
      <c r="F4" s="281" t="s">
        <v>146</v>
      </c>
      <c r="G4" s="326" t="s">
        <v>147</v>
      </c>
      <c r="H4" s="15"/>
    </row>
    <row r="5" ht="133.5" customHeight="1">
      <c r="A5" s="265" t="s">
        <v>148</v>
      </c>
      <c r="E5" s="289"/>
      <c r="F5" s="327" t="s">
        <v>149</v>
      </c>
      <c r="G5" s="326" t="s">
        <v>150</v>
      </c>
      <c r="H5" s="15"/>
    </row>
    <row r="6" ht="51.0" customHeight="1">
      <c r="A6" s="265" t="s">
        <v>151</v>
      </c>
      <c r="E6" s="289"/>
      <c r="F6" s="281" t="s">
        <v>152</v>
      </c>
      <c r="G6" s="328" t="s">
        <v>153</v>
      </c>
      <c r="H6" s="15"/>
    </row>
    <row r="7" ht="201.0" customHeight="1">
      <c r="A7" s="265" t="s">
        <v>154</v>
      </c>
    </row>
    <row r="8">
      <c r="A8" s="329" t="s">
        <v>155</v>
      </c>
      <c r="O8" s="217" t="s">
        <v>156</v>
      </c>
      <c r="Y8" s="217" t="s">
        <v>157</v>
      </c>
    </row>
    <row r="9">
      <c r="A9" s="329" t="s">
        <v>158</v>
      </c>
    </row>
    <row r="10" ht="266.25" customHeight="1">
      <c r="A10" s="276" t="s">
        <v>159</v>
      </c>
    </row>
    <row r="11" ht="90.0" customHeight="1">
      <c r="A11" s="276" t="s">
        <v>160</v>
      </c>
    </row>
    <row r="12">
      <c r="A12" s="330" t="s">
        <v>161</v>
      </c>
      <c r="B12" s="331"/>
      <c r="C12" s="331"/>
      <c r="D12" s="331"/>
      <c r="E12" s="331"/>
      <c r="F12" s="331"/>
      <c r="G12" s="331"/>
      <c r="H12" s="331"/>
      <c r="I12" s="331"/>
      <c r="J12" s="332"/>
    </row>
    <row r="13">
      <c r="A13" s="333" t="s">
        <v>162</v>
      </c>
      <c r="B13" s="334" t="s">
        <v>163</v>
      </c>
      <c r="C13" s="335" t="s">
        <v>164</v>
      </c>
      <c r="D13" s="334" t="s">
        <v>165</v>
      </c>
      <c r="E13" s="334" t="s">
        <v>166</v>
      </c>
      <c r="F13" s="335" t="s">
        <v>167</v>
      </c>
      <c r="G13" s="334" t="s">
        <v>168</v>
      </c>
      <c r="H13" s="334"/>
      <c r="I13" s="334"/>
      <c r="J13" s="336" t="s">
        <v>168</v>
      </c>
    </row>
    <row r="14">
      <c r="A14" s="337" t="s">
        <v>169</v>
      </c>
      <c r="B14" s="338" t="s">
        <v>170</v>
      </c>
      <c r="C14" s="339"/>
      <c r="D14" s="340" t="s">
        <v>171</v>
      </c>
      <c r="E14" s="341"/>
      <c r="F14" s="339"/>
      <c r="G14" s="341" t="s">
        <v>172</v>
      </c>
      <c r="H14" s="341" t="s">
        <v>173</v>
      </c>
      <c r="I14" s="340" t="s">
        <v>174</v>
      </c>
      <c r="J14" s="342" t="s">
        <v>175</v>
      </c>
      <c r="K14" s="343" t="s">
        <v>176</v>
      </c>
      <c r="L14" s="343" t="s">
        <v>177</v>
      </c>
      <c r="M14" s="343" t="s">
        <v>149</v>
      </c>
      <c r="N14" s="344" t="s">
        <v>163</v>
      </c>
      <c r="O14" s="344" t="s">
        <v>165</v>
      </c>
      <c r="P14" s="344" t="s">
        <v>178</v>
      </c>
      <c r="Q14" s="344" t="s">
        <v>179</v>
      </c>
    </row>
    <row r="15">
      <c r="A15" s="337" t="s">
        <v>180</v>
      </c>
      <c r="B15" s="142"/>
      <c r="D15" s="345"/>
      <c r="E15" s="143"/>
      <c r="G15" s="346">
        <v>0.84</v>
      </c>
      <c r="H15" s="346">
        <v>0.74</v>
      </c>
      <c r="I15" s="300">
        <v>0.2</v>
      </c>
      <c r="J15" s="347">
        <f>(G15-H15*I15)/(1-I15)</f>
        <v>0.865</v>
      </c>
      <c r="K15" s="151"/>
      <c r="L15" s="151"/>
      <c r="M15" s="151"/>
      <c r="N15" s="344"/>
      <c r="O15" s="344"/>
      <c r="P15" s="344"/>
    </row>
    <row r="16">
      <c r="A16" s="348" t="s">
        <v>181</v>
      </c>
      <c r="B16" s="349">
        <v>0.89</v>
      </c>
      <c r="C16" s="350">
        <v>0.94</v>
      </c>
      <c r="J16" s="147"/>
      <c r="K16" s="151">
        <v>80.0</v>
      </c>
      <c r="L16" s="151">
        <v>60.0</v>
      </c>
      <c r="M16" s="151">
        <v>70.0</v>
      </c>
      <c r="N16" s="351">
        <f t="shared" ref="N16:N20" si="1">B16</f>
        <v>0.89</v>
      </c>
      <c r="O16" s="351"/>
      <c r="P16" s="351"/>
    </row>
    <row r="17">
      <c r="A17" s="352" t="s">
        <v>182</v>
      </c>
      <c r="B17" s="353">
        <f t="shared" ref="B17:B18" si="3">B$16+(B$19-B$16)*(M17-M$16)/(M$19-M$16)</f>
        <v>0.9015984043</v>
      </c>
      <c r="D17" s="350">
        <v>0.89</v>
      </c>
      <c r="E17" s="350">
        <v>0.87</v>
      </c>
      <c r="F17" s="346">
        <v>0.83</v>
      </c>
      <c r="G17" s="354"/>
      <c r="H17" s="354"/>
      <c r="I17" s="354"/>
      <c r="J17" s="144"/>
      <c r="K17" s="151">
        <v>75.0</v>
      </c>
      <c r="L17" s="151">
        <v>55.0</v>
      </c>
      <c r="M17" s="151">
        <v>65.0</v>
      </c>
      <c r="N17" s="351">
        <f t="shared" si="1"/>
        <v>0.9015984043</v>
      </c>
      <c r="O17" s="351">
        <f t="shared" ref="O17:Q17" si="2">D17</f>
        <v>0.89</v>
      </c>
      <c r="P17" s="351">
        <f t="shared" si="2"/>
        <v>0.87</v>
      </c>
      <c r="Q17" s="151">
        <f t="shared" si="2"/>
        <v>0.83</v>
      </c>
    </row>
    <row r="18">
      <c r="A18" s="355" t="s">
        <v>183</v>
      </c>
      <c r="B18" s="353">
        <f t="shared" si="3"/>
        <v>0.9294345745</v>
      </c>
      <c r="D18" s="350">
        <v>0.92</v>
      </c>
      <c r="E18" s="350">
        <v>0.92</v>
      </c>
      <c r="F18" s="346">
        <v>0.88</v>
      </c>
      <c r="G18" s="143"/>
      <c r="H18" s="143"/>
      <c r="I18" s="143"/>
      <c r="J18" s="144"/>
      <c r="K18" s="151">
        <v>60.0</v>
      </c>
      <c r="L18" s="151">
        <v>45.0</v>
      </c>
      <c r="M18" s="151">
        <v>53.0</v>
      </c>
      <c r="N18" s="351">
        <f t="shared" si="1"/>
        <v>0.9294345745</v>
      </c>
      <c r="O18" s="351">
        <f t="shared" ref="O18:Q18" si="4">D18</f>
        <v>0.92</v>
      </c>
      <c r="P18" s="351">
        <f t="shared" si="4"/>
        <v>0.92</v>
      </c>
      <c r="Q18" s="151">
        <f t="shared" si="4"/>
        <v>0.88</v>
      </c>
    </row>
    <row r="19">
      <c r="A19" s="348" t="s">
        <v>184</v>
      </c>
      <c r="B19" s="353">
        <f>C19/(C16/B16)</f>
        <v>0.936393617</v>
      </c>
      <c r="C19" s="350">
        <v>0.989</v>
      </c>
      <c r="D19" s="356"/>
      <c r="E19" s="356"/>
      <c r="F19" s="357">
        <f>AVERAGE(F18,F20)</f>
        <v>0.885</v>
      </c>
      <c r="G19" s="143"/>
      <c r="H19" s="143"/>
      <c r="I19" s="143"/>
      <c r="J19" s="144"/>
      <c r="K19" s="151">
        <v>57.0</v>
      </c>
      <c r="L19" s="151">
        <v>43.0</v>
      </c>
      <c r="M19" s="151">
        <v>50.0</v>
      </c>
      <c r="N19" s="351">
        <f t="shared" si="1"/>
        <v>0.936393617</v>
      </c>
      <c r="O19" s="351">
        <f t="shared" ref="O19:P19" si="5">O18+(O20-O18)*(($K19-$K18)/($K20-$K18))</f>
        <v>0.926</v>
      </c>
      <c r="P19" s="351">
        <f t="shared" si="5"/>
        <v>0.929</v>
      </c>
      <c r="Q19" s="358">
        <f>F19</f>
        <v>0.885</v>
      </c>
    </row>
    <row r="20">
      <c r="A20" s="355" t="s">
        <v>185</v>
      </c>
      <c r="B20" s="353">
        <f>B$16+(B$19-B$16)*(M20-M$16)/(M$19-M$16)</f>
        <v>0.9410329787</v>
      </c>
      <c r="D20" s="350">
        <v>0.93</v>
      </c>
      <c r="E20" s="350">
        <v>0.935</v>
      </c>
      <c r="F20" s="359">
        <v>0.89</v>
      </c>
      <c r="G20" s="143"/>
      <c r="H20" s="143"/>
      <c r="I20" s="143"/>
      <c r="J20" s="144"/>
      <c r="K20" s="151">
        <v>55.0</v>
      </c>
      <c r="L20" s="151">
        <v>40.0</v>
      </c>
      <c r="M20" s="151">
        <v>48.0</v>
      </c>
      <c r="N20" s="351">
        <f t="shared" si="1"/>
        <v>0.9410329787</v>
      </c>
      <c r="O20" s="351">
        <f t="shared" ref="O20:Q20" si="6">D20</f>
        <v>0.93</v>
      </c>
      <c r="P20" s="351">
        <f t="shared" si="6"/>
        <v>0.935</v>
      </c>
      <c r="Q20" s="360">
        <f t="shared" si="6"/>
        <v>0.89</v>
      </c>
    </row>
    <row r="21">
      <c r="A21" s="361"/>
      <c r="B21" s="362"/>
      <c r="C21" s="219"/>
      <c r="D21" s="219"/>
      <c r="E21" s="219"/>
      <c r="F21" s="219"/>
      <c r="G21" s="186"/>
      <c r="H21" s="186"/>
      <c r="I21" s="186"/>
      <c r="J21" s="216"/>
    </row>
    <row r="22">
      <c r="A22" s="363"/>
      <c r="B22" s="364"/>
      <c r="C22" s="364"/>
      <c r="D22" s="364"/>
    </row>
    <row r="23">
      <c r="A23" s="277" t="s">
        <v>186</v>
      </c>
    </row>
    <row r="24">
      <c r="A24" s="365" t="s">
        <v>187</v>
      </c>
      <c r="B24" s="366" t="s">
        <v>163</v>
      </c>
      <c r="C24" s="367" t="s">
        <v>165</v>
      </c>
      <c r="D24" s="367" t="s">
        <v>166</v>
      </c>
      <c r="E24" s="368" t="s">
        <v>179</v>
      </c>
    </row>
    <row r="25">
      <c r="A25" s="369" t="s">
        <v>188</v>
      </c>
      <c r="B25" s="370">
        <f>1-(B17/B18)</f>
        <v>0.0299495747</v>
      </c>
      <c r="C25" s="371">
        <f t="shared" ref="C25:E25" si="7">1-(D17/D18)</f>
        <v>0.03260869565</v>
      </c>
      <c r="D25" s="371">
        <f t="shared" si="7"/>
        <v>0.05434782609</v>
      </c>
      <c r="E25" s="372">
        <f t="shared" si="7"/>
        <v>0.05681818182</v>
      </c>
    </row>
    <row r="26">
      <c r="A26" s="373" t="s">
        <v>189</v>
      </c>
      <c r="B26" s="374">
        <f>1-(B17/B20)</f>
        <v>0.04190562431</v>
      </c>
      <c r="C26" s="375">
        <f t="shared" ref="C26:E26" si="8">1-(D17/D20)</f>
        <v>0.04301075269</v>
      </c>
      <c r="D26" s="375">
        <f t="shared" si="8"/>
        <v>0.06951871658</v>
      </c>
      <c r="E26" s="376">
        <f t="shared" si="8"/>
        <v>0.06741573034</v>
      </c>
    </row>
    <row r="27">
      <c r="A27" s="277" t="s">
        <v>190</v>
      </c>
    </row>
    <row r="28">
      <c r="A28" s="265" t="s">
        <v>191</v>
      </c>
    </row>
    <row r="29">
      <c r="A29" s="265" t="s">
        <v>192</v>
      </c>
    </row>
    <row r="30">
      <c r="A30" s="265"/>
    </row>
    <row r="31">
      <c r="A31" s="377" t="s">
        <v>193</v>
      </c>
      <c r="B31" s="378"/>
      <c r="C31" s="379"/>
      <c r="D31" s="379"/>
      <c r="E31" s="380"/>
    </row>
    <row r="32">
      <c r="A32" s="381" t="s">
        <v>194</v>
      </c>
      <c r="B32" s="381" t="s">
        <v>195</v>
      </c>
      <c r="C32" s="382" t="s">
        <v>196</v>
      </c>
      <c r="D32" s="382" t="s">
        <v>197</v>
      </c>
      <c r="E32" s="383" t="s">
        <v>198</v>
      </c>
    </row>
    <row r="33">
      <c r="A33" s="384">
        <v>80.0</v>
      </c>
      <c r="B33" s="385">
        <v>47.82</v>
      </c>
      <c r="E33" s="386">
        <v>17.3</v>
      </c>
    </row>
    <row r="34">
      <c r="A34" s="384">
        <v>75.0</v>
      </c>
      <c r="B34" s="387">
        <f>(B33+B35)/2</f>
        <v>46.595</v>
      </c>
      <c r="C34" s="388">
        <f t="shared" ref="C34:C38" si="9">1-B34/B$33</f>
        <v>0.0256168967</v>
      </c>
      <c r="E34" s="389">
        <f>(E33+E35)/2</f>
        <v>17.2</v>
      </c>
    </row>
    <row r="35">
      <c r="A35" s="384">
        <v>70.0</v>
      </c>
      <c r="B35" s="385">
        <v>45.37</v>
      </c>
      <c r="C35" s="388">
        <f t="shared" si="9"/>
        <v>0.05123379339</v>
      </c>
      <c r="D35" s="388">
        <f t="shared" ref="D35:D38" si="10">1-(B35/B$34)</f>
        <v>0.0262903745</v>
      </c>
      <c r="E35" s="386">
        <v>17.1</v>
      </c>
    </row>
    <row r="36">
      <c r="A36" s="384">
        <v>65.0</v>
      </c>
      <c r="B36" s="387">
        <f>(B35+B37)/2</f>
        <v>43.705</v>
      </c>
      <c r="C36" s="388">
        <f t="shared" si="9"/>
        <v>0.08605186115</v>
      </c>
      <c r="D36" s="388">
        <f t="shared" si="10"/>
        <v>0.0620238223</v>
      </c>
      <c r="E36" s="389">
        <f>(E35+E37)/2</f>
        <v>16.95</v>
      </c>
    </row>
    <row r="37">
      <c r="A37" s="384">
        <v>60.0</v>
      </c>
      <c r="B37" s="385">
        <v>42.04</v>
      </c>
      <c r="C37" s="388">
        <f t="shared" si="9"/>
        <v>0.1208699289</v>
      </c>
      <c r="D37" s="388">
        <f t="shared" si="10"/>
        <v>0.09775727009</v>
      </c>
      <c r="E37" s="386">
        <v>16.8</v>
      </c>
    </row>
    <row r="38">
      <c r="A38" s="390">
        <v>55.0</v>
      </c>
      <c r="B38" s="391">
        <v>40.13</v>
      </c>
      <c r="C38" s="392">
        <f t="shared" si="9"/>
        <v>0.160811376</v>
      </c>
      <c r="D38" s="392">
        <f t="shared" si="10"/>
        <v>0.1387487928</v>
      </c>
      <c r="E38" s="393">
        <v>16.6</v>
      </c>
    </row>
    <row r="39">
      <c r="A39" s="363"/>
      <c r="B39" s="364"/>
      <c r="C39" s="364"/>
      <c r="D39" s="364"/>
    </row>
    <row r="40">
      <c r="A40" s="377" t="s">
        <v>199</v>
      </c>
      <c r="B40" s="394" t="s">
        <v>200</v>
      </c>
      <c r="C40" s="394"/>
      <c r="D40" s="394"/>
      <c r="E40" s="395"/>
      <c r="F40" s="395"/>
      <c r="G40" s="395"/>
      <c r="H40" s="396"/>
    </row>
    <row r="41">
      <c r="A41" s="397" t="s">
        <v>201</v>
      </c>
      <c r="B41" s="398" t="s">
        <v>202</v>
      </c>
      <c r="C41" s="399" t="s">
        <v>203</v>
      </c>
      <c r="D41" s="399" t="s">
        <v>204</v>
      </c>
      <c r="E41" s="399" t="s">
        <v>205</v>
      </c>
      <c r="F41" s="399" t="s">
        <v>206</v>
      </c>
      <c r="G41" s="399" t="s">
        <v>207</v>
      </c>
      <c r="H41" s="400" t="s">
        <v>208</v>
      </c>
    </row>
    <row r="42">
      <c r="A42" s="401"/>
      <c r="B42" s="402" t="s">
        <v>209</v>
      </c>
      <c r="C42" s="402"/>
      <c r="D42" s="402"/>
      <c r="E42" s="1"/>
      <c r="F42" s="1"/>
      <c r="G42" s="1"/>
      <c r="H42" s="403"/>
    </row>
    <row r="43">
      <c r="A43" s="404" t="s">
        <v>210</v>
      </c>
      <c r="B43" s="405">
        <v>16.95769826956529</v>
      </c>
      <c r="C43" s="406">
        <v>13.12765965481369</v>
      </c>
      <c r="D43" s="406">
        <v>9.815496694171621</v>
      </c>
      <c r="E43" s="406">
        <v>8.201576121462075</v>
      </c>
      <c r="F43" s="407">
        <f t="shared" ref="F43:G43" si="11">(B43+D43)/2</f>
        <v>13.38659748</v>
      </c>
      <c r="G43" s="408">
        <f t="shared" si="11"/>
        <v>10.66461789</v>
      </c>
      <c r="H43" s="409">
        <f t="shared" ref="H43:H47" si="13">F43*0.66+G43*0.34</f>
        <v>12.46112442</v>
      </c>
    </row>
    <row r="44">
      <c r="A44" s="404" t="s">
        <v>211</v>
      </c>
      <c r="B44" s="385">
        <v>14.0</v>
      </c>
      <c r="C44" s="410">
        <v>16.7</v>
      </c>
      <c r="D44" s="410">
        <v>8.375</v>
      </c>
      <c r="E44" s="410">
        <v>9.725</v>
      </c>
      <c r="F44" s="387">
        <f t="shared" ref="F44:G44" si="12">(B44+D44)/2</f>
        <v>11.1875</v>
      </c>
      <c r="G44" s="411">
        <f t="shared" si="12"/>
        <v>13.2125</v>
      </c>
      <c r="H44" s="389">
        <f t="shared" si="13"/>
        <v>11.876</v>
      </c>
    </row>
    <row r="45">
      <c r="A45" s="404" t="s">
        <v>212</v>
      </c>
      <c r="B45" s="385">
        <v>4.971540919190237</v>
      </c>
      <c r="C45" s="410">
        <v>8.75246332862985</v>
      </c>
      <c r="D45" s="410">
        <v>3.0297835917644895</v>
      </c>
      <c r="E45" s="410">
        <v>5.524808148005429</v>
      </c>
      <c r="F45" s="387">
        <f t="shared" ref="F45:G45" si="14">(B45+D45)/2</f>
        <v>4.000662255</v>
      </c>
      <c r="G45" s="411">
        <f t="shared" si="14"/>
        <v>7.138635738</v>
      </c>
      <c r="H45" s="389">
        <f t="shared" si="13"/>
        <v>5.06757324</v>
      </c>
    </row>
    <row r="46">
      <c r="A46" s="404" t="s">
        <v>213</v>
      </c>
      <c r="B46" s="385">
        <v>18.992865414136432</v>
      </c>
      <c r="C46" s="410">
        <v>21.87656644668577</v>
      </c>
      <c r="D46" s="410">
        <v>10.831448687070079</v>
      </c>
      <c r="E46" s="410">
        <v>13.864637745097063</v>
      </c>
      <c r="F46" s="387">
        <f t="shared" ref="F46:G46" si="15">(B46+D46)/2</f>
        <v>14.91215705</v>
      </c>
      <c r="G46" s="411">
        <f t="shared" si="15"/>
        <v>17.8706021</v>
      </c>
      <c r="H46" s="389">
        <f t="shared" si="13"/>
        <v>15.91802837</v>
      </c>
    </row>
    <row r="47">
      <c r="A47" s="404" t="s">
        <v>214</v>
      </c>
      <c r="B47" s="385">
        <v>13.979897976413602</v>
      </c>
      <c r="C47" s="410">
        <v>5.266516928259378</v>
      </c>
      <c r="D47" s="410">
        <v>9.516111854300116</v>
      </c>
      <c r="E47" s="410">
        <v>4.318645628273562</v>
      </c>
      <c r="F47" s="387">
        <f t="shared" ref="F47:G47" si="16">(B47+D47)/2</f>
        <v>11.74800492</v>
      </c>
      <c r="G47" s="411">
        <f t="shared" si="16"/>
        <v>4.792581278</v>
      </c>
      <c r="H47" s="389">
        <f t="shared" si="13"/>
        <v>9.383160879</v>
      </c>
    </row>
    <row r="48">
      <c r="A48" s="404" t="s">
        <v>215</v>
      </c>
      <c r="B48" s="391"/>
      <c r="C48" s="412"/>
      <c r="D48" s="412"/>
      <c r="E48" s="412"/>
      <c r="F48" s="413"/>
      <c r="G48" s="414"/>
      <c r="H48" s="415">
        <f>AVERAGE(H43:H47)</f>
        <v>10.94117738</v>
      </c>
    </row>
    <row r="49">
      <c r="A49" s="404" t="s">
        <v>216</v>
      </c>
      <c r="B49" s="405">
        <v>20.930581860382972</v>
      </c>
      <c r="C49" s="406">
        <v>18.501787079616008</v>
      </c>
      <c r="D49" s="406">
        <v>14.134328424220563</v>
      </c>
      <c r="E49" s="406">
        <v>13.883802522361648</v>
      </c>
      <c r="F49" s="407">
        <f t="shared" ref="F49:G49" si="17">(B49+D49)/2</f>
        <v>17.53245514</v>
      </c>
      <c r="G49" s="408">
        <f t="shared" si="17"/>
        <v>16.1927948</v>
      </c>
      <c r="H49" s="389">
        <f t="shared" ref="H49:H53" si="19">F49*0.66+G49*0.34</f>
        <v>17.07697063</v>
      </c>
    </row>
    <row r="50">
      <c r="A50" s="404" t="s">
        <v>217</v>
      </c>
      <c r="B50" s="385">
        <v>18.5</v>
      </c>
      <c r="C50" s="410">
        <v>22.049999999999997</v>
      </c>
      <c r="D50" s="410">
        <v>13.149999999999999</v>
      </c>
      <c r="E50" s="410">
        <v>15.525</v>
      </c>
      <c r="F50" s="387">
        <f t="shared" ref="F50:G50" si="18">(B50+D50)/2</f>
        <v>15.825</v>
      </c>
      <c r="G50" s="411">
        <f t="shared" si="18"/>
        <v>18.7875</v>
      </c>
      <c r="H50" s="389">
        <f t="shared" si="19"/>
        <v>16.83225</v>
      </c>
    </row>
    <row r="51">
      <c r="A51" s="404" t="s">
        <v>218</v>
      </c>
      <c r="B51" s="385">
        <v>6.9993939329010475</v>
      </c>
      <c r="C51" s="410">
        <v>11.38362132722339</v>
      </c>
      <c r="D51" s="410">
        <v>5.15087815798492</v>
      </c>
      <c r="E51" s="410">
        <v>8.418179658985357</v>
      </c>
      <c r="F51" s="387">
        <f t="shared" ref="F51:G51" si="20">(B51+D51)/2</f>
        <v>6.075136045</v>
      </c>
      <c r="G51" s="411">
        <f t="shared" si="20"/>
        <v>9.900900493</v>
      </c>
      <c r="H51" s="389">
        <f t="shared" si="19"/>
        <v>7.375895958</v>
      </c>
    </row>
    <row r="52">
      <c r="A52" s="404" t="s">
        <v>219</v>
      </c>
      <c r="B52" s="385">
        <v>23.95267774158463</v>
      </c>
      <c r="C52" s="410">
        <v>28.037040296020336</v>
      </c>
      <c r="D52" s="410">
        <v>16.296147196656527</v>
      </c>
      <c r="E52" s="410">
        <v>20.65715408500465</v>
      </c>
      <c r="F52" s="387">
        <f t="shared" ref="F52:G52" si="21">(B52+D52)/2</f>
        <v>20.12441247</v>
      </c>
      <c r="G52" s="411">
        <f t="shared" si="21"/>
        <v>24.34709719</v>
      </c>
      <c r="H52" s="389">
        <f t="shared" si="19"/>
        <v>21.56012527</v>
      </c>
    </row>
    <row r="53">
      <c r="A53" s="404" t="s">
        <v>220</v>
      </c>
      <c r="B53" s="385">
        <v>20.043042353155528</v>
      </c>
      <c r="C53" s="410">
        <v>9.03255608517521</v>
      </c>
      <c r="D53" s="410">
        <v>15.893528210378477</v>
      </c>
      <c r="E53" s="410">
        <v>8.127617711192348</v>
      </c>
      <c r="F53" s="387">
        <f t="shared" ref="F53:G53" si="22">(B53+D53)/2</f>
        <v>17.96828528</v>
      </c>
      <c r="G53" s="411">
        <f t="shared" si="22"/>
        <v>8.580086898</v>
      </c>
      <c r="H53" s="389">
        <f t="shared" si="19"/>
        <v>14.77629783</v>
      </c>
    </row>
    <row r="54">
      <c r="A54" s="416" t="s">
        <v>221</v>
      </c>
      <c r="B54" s="417"/>
      <c r="C54" s="418"/>
      <c r="D54" s="418"/>
      <c r="E54" s="419"/>
      <c r="F54" s="420"/>
      <c r="G54" s="421"/>
      <c r="H54" s="415">
        <f>AVERAGE(H49:H53)</f>
        <v>15.52430794</v>
      </c>
    </row>
    <row r="55">
      <c r="A55" s="363"/>
      <c r="B55" s="364"/>
      <c r="C55" s="364"/>
      <c r="D55" s="364"/>
    </row>
    <row r="56">
      <c r="A56" s="422"/>
      <c r="B56" s="206"/>
      <c r="C56" s="206"/>
      <c r="D56" s="206"/>
    </row>
    <row r="57">
      <c r="A57" s="423" t="s">
        <v>222</v>
      </c>
      <c r="B57" s="424" t="s">
        <v>24</v>
      </c>
      <c r="C57" s="425" t="s">
        <v>223</v>
      </c>
      <c r="D57" s="426" t="s">
        <v>26</v>
      </c>
    </row>
    <row r="58">
      <c r="A58" s="427" t="s">
        <v>224</v>
      </c>
      <c r="B58" s="370">
        <f t="shared" ref="B58:B59" si="23">MIN(B25:E25)</f>
        <v>0.0299495747</v>
      </c>
      <c r="C58" s="371">
        <f t="shared" ref="C58:C59" si="24">AVERAGE(B25:E25)</f>
        <v>0.04343106956</v>
      </c>
      <c r="D58" s="372">
        <f t="shared" ref="D58:D59" si="25">MAX(B25:E25)</f>
        <v>0.05681818182</v>
      </c>
      <c r="F58" s="30" t="s">
        <v>225</v>
      </c>
    </row>
    <row r="59">
      <c r="A59" s="373" t="s">
        <v>226</v>
      </c>
      <c r="B59" s="374">
        <f t="shared" si="23"/>
        <v>0.04190562431</v>
      </c>
      <c r="C59" s="375">
        <f t="shared" si="24"/>
        <v>0.05546270598</v>
      </c>
      <c r="D59" s="376">
        <f t="shared" si="25"/>
        <v>0.06951871658</v>
      </c>
      <c r="F59" s="30"/>
    </row>
    <row r="60">
      <c r="A60" s="428" t="s">
        <v>227</v>
      </c>
      <c r="B60" s="206">
        <f t="shared" ref="B60:B61" si="26">AVERAGE(B58,C60)</f>
        <v>0.06385342239</v>
      </c>
      <c r="C60" s="206">
        <f t="shared" ref="C60:C61" si="27">D37</f>
        <v>0.09775727009</v>
      </c>
      <c r="D60" s="207">
        <f t="shared" ref="D60:D61" si="28">C60*1.1</f>
        <v>0.1075329971</v>
      </c>
      <c r="F60" s="30" t="s">
        <v>228</v>
      </c>
    </row>
    <row r="61">
      <c r="A61" s="429" t="s">
        <v>229</v>
      </c>
      <c r="B61" s="375">
        <f t="shared" si="26"/>
        <v>0.09032720855</v>
      </c>
      <c r="C61" s="375">
        <f t="shared" si="27"/>
        <v>0.1387487928</v>
      </c>
      <c r="D61" s="376">
        <f t="shared" si="28"/>
        <v>0.1526236721</v>
      </c>
      <c r="F61" s="30" t="s">
        <v>230</v>
      </c>
    </row>
    <row r="62">
      <c r="A62" s="265"/>
    </row>
    <row r="63">
      <c r="A63" s="109" t="s">
        <v>231</v>
      </c>
      <c r="B63" s="18"/>
      <c r="C63" s="18"/>
      <c r="D63" s="18"/>
      <c r="E63" s="18"/>
      <c r="F63" s="18"/>
      <c r="G63" s="18"/>
    </row>
    <row r="64">
      <c r="A64" s="265" t="s">
        <v>232</v>
      </c>
    </row>
    <row r="65">
      <c r="A65" s="265" t="s">
        <v>233</v>
      </c>
    </row>
    <row r="66">
      <c r="A66" s="261" t="s">
        <v>234</v>
      </c>
      <c r="B66" s="430">
        <f>MeanDomesticGasBill*gasBillPropSpace</f>
        <v>9566.90537</v>
      </c>
      <c r="C66" s="217" t="s">
        <v>58</v>
      </c>
    </row>
    <row r="67">
      <c r="A67" s="265"/>
      <c r="B67" s="431"/>
    </row>
    <row r="68">
      <c r="A68" s="265"/>
      <c r="B68" s="431" t="s">
        <v>116</v>
      </c>
      <c r="E68" s="217" t="s">
        <v>117</v>
      </c>
    </row>
    <row r="69">
      <c r="A69" s="109" t="s">
        <v>235</v>
      </c>
      <c r="B69" s="432" t="s">
        <v>24</v>
      </c>
      <c r="C69" s="268" t="s">
        <v>236</v>
      </c>
      <c r="D69" s="268" t="s">
        <v>26</v>
      </c>
      <c r="E69" s="433" t="s">
        <v>24</v>
      </c>
      <c r="F69" s="268" t="s">
        <v>236</v>
      </c>
      <c r="G69" s="269" t="s">
        <v>26</v>
      </c>
    </row>
    <row r="70">
      <c r="A70" s="261" t="s">
        <v>237</v>
      </c>
      <c r="B70" s="85">
        <f t="shared" ref="B70:D70" si="29">$B$66*B58</f>
        <v>286.524747</v>
      </c>
      <c r="C70" s="86">
        <f t="shared" si="29"/>
        <v>415.5009326</v>
      </c>
      <c r="D70" s="86">
        <f t="shared" si="29"/>
        <v>543.5741687</v>
      </c>
      <c r="E70" s="434">
        <f>B70*gasPriceP/100</f>
        <v>19.79694985</v>
      </c>
      <c r="F70" s="434">
        <f>C70*gasPriceP/100</f>
        <v>28.70834444</v>
      </c>
      <c r="G70" s="435">
        <f>D70*gasPriceP/100</f>
        <v>37.55735123</v>
      </c>
    </row>
    <row r="71">
      <c r="A71" s="261" t="s">
        <v>238</v>
      </c>
      <c r="B71" s="85">
        <f t="shared" ref="B71:D71" si="30">$B$66*B59</f>
        <v>400.9071422</v>
      </c>
      <c r="C71" s="86">
        <f t="shared" si="30"/>
        <v>530.6064596</v>
      </c>
      <c r="D71" s="86">
        <f t="shared" si="30"/>
        <v>665.0789829</v>
      </c>
      <c r="E71" s="434">
        <f>B71*gasPriceP/100</f>
        <v>27.70001081</v>
      </c>
      <c r="F71" s="434">
        <f>C71*gasPriceP/100</f>
        <v>36.66136899</v>
      </c>
      <c r="G71" s="435">
        <f>D71*gasPriceP/100</f>
        <v>45.95252386</v>
      </c>
    </row>
    <row r="72">
      <c r="A72" s="261" t="s">
        <v>239</v>
      </c>
      <c r="B72" s="85">
        <f t="shared" ref="B72:D72" si="31">$B$66*B60</f>
        <v>610.8796496</v>
      </c>
      <c r="C72" s="86">
        <f t="shared" si="31"/>
        <v>935.2345522</v>
      </c>
      <c r="D72" s="86">
        <f t="shared" si="31"/>
        <v>1028.758007</v>
      </c>
      <c r="E72" s="434">
        <f>B72*gasPriceP/100</f>
        <v>42.20771126</v>
      </c>
      <c r="F72" s="434">
        <f>C72*gasPriceP/100</f>
        <v>64.61847266</v>
      </c>
      <c r="G72" s="435">
        <f>D72*gasPriceP/100</f>
        <v>71.08031993</v>
      </c>
    </row>
    <row r="73">
      <c r="A73" s="261" t="s">
        <v>240</v>
      </c>
      <c r="B73" s="116">
        <f t="shared" ref="B73:D73" si="32">$B$66*B61</f>
        <v>864.1518565</v>
      </c>
      <c r="C73" s="117">
        <f t="shared" si="32"/>
        <v>1327.396571</v>
      </c>
      <c r="D73" s="117">
        <f t="shared" si="32"/>
        <v>1460.136228</v>
      </c>
      <c r="E73" s="436">
        <f>B73*gasPriceP/100</f>
        <v>59.70713227</v>
      </c>
      <c r="F73" s="436">
        <f>C73*gasPriceP/100</f>
        <v>91.71425373</v>
      </c>
      <c r="G73" s="437">
        <f>D73*gasPriceP/100</f>
        <v>100.8856791</v>
      </c>
    </row>
    <row r="74">
      <c r="A74" s="265"/>
      <c r="B74" s="438"/>
    </row>
    <row r="75">
      <c r="A75" s="265"/>
      <c r="B75" s="438"/>
    </row>
    <row r="76">
      <c r="A76" s="109" t="s">
        <v>241</v>
      </c>
      <c r="B76" s="152"/>
      <c r="C76" s="152"/>
      <c r="D76" s="152"/>
      <c r="E76" s="152"/>
      <c r="F76" s="152"/>
      <c r="G76" s="152"/>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row>
    <row r="77">
      <c r="A77" s="265" t="s">
        <v>242</v>
      </c>
    </row>
    <row r="78" ht="177.0" customHeight="1">
      <c r="A78" s="276" t="s">
        <v>243</v>
      </c>
    </row>
    <row r="79" ht="196.5" customHeight="1">
      <c r="A79" s="276" t="s">
        <v>244</v>
      </c>
    </row>
    <row r="80" ht="116.25" customHeight="1">
      <c r="A80" s="265" t="s">
        <v>245</v>
      </c>
    </row>
    <row r="81">
      <c r="A81" s="265"/>
    </row>
    <row r="82">
      <c r="A82" s="439" t="s">
        <v>246</v>
      </c>
      <c r="B82" s="440">
        <f>propHomesGasHeating*(1-propGasRegular)</f>
        <v>0.5682058365</v>
      </c>
      <c r="C82" s="339"/>
      <c r="D82" s="441"/>
    </row>
    <row r="83">
      <c r="A83" s="442" t="s">
        <v>247</v>
      </c>
      <c r="B83" s="443">
        <v>4500000.0</v>
      </c>
      <c r="D83" s="147" t="s">
        <v>163</v>
      </c>
      <c r="E83" s="217" t="s">
        <v>248</v>
      </c>
    </row>
    <row r="84">
      <c r="A84" s="442" t="s">
        <v>249</v>
      </c>
      <c r="B84" s="444">
        <f>B83/(propHomesGasHeating*numberDwellingsUK)</f>
        <v>0.1912839018</v>
      </c>
      <c r="D84" s="147"/>
    </row>
    <row r="85">
      <c r="A85" s="445" t="s">
        <v>250</v>
      </c>
      <c r="B85" s="446">
        <v>0.25</v>
      </c>
      <c r="C85" s="219"/>
      <c r="D85" s="220" t="s">
        <v>251</v>
      </c>
      <c r="E85" s="302" t="s">
        <v>252</v>
      </c>
    </row>
    <row r="86">
      <c r="A86" s="265"/>
      <c r="B86" s="447"/>
      <c r="I86" s="217">
        <v>1.0</v>
      </c>
    </row>
    <row r="87">
      <c r="A87" s="448" t="s">
        <v>253</v>
      </c>
      <c r="B87" s="449" t="s">
        <v>176</v>
      </c>
      <c r="C87" s="449" t="s">
        <v>254</v>
      </c>
      <c r="D87" s="449" t="s">
        <v>255</v>
      </c>
      <c r="E87" s="449" t="s">
        <v>256</v>
      </c>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c r="A88" s="422"/>
      <c r="B88" s="450">
        <v>75.0</v>
      </c>
      <c r="C88" s="451">
        <v>0.75</v>
      </c>
      <c r="D88" s="451">
        <v>0.94</v>
      </c>
      <c r="E88" s="451">
        <v>1.0</v>
      </c>
    </row>
    <row r="89">
      <c r="A89" s="422"/>
      <c r="B89" s="450">
        <v>60.0</v>
      </c>
      <c r="C89" s="451">
        <v>0.64</v>
      </c>
      <c r="D89" s="451">
        <v>0.72</v>
      </c>
      <c r="E89" s="451">
        <v>0.8</v>
      </c>
    </row>
    <row r="90">
      <c r="A90" s="452"/>
      <c r="B90" s="450">
        <v>55.0</v>
      </c>
      <c r="C90" s="451">
        <v>0.47</v>
      </c>
      <c r="D90" s="451">
        <v>0.53</v>
      </c>
      <c r="E90" s="451">
        <v>0.59</v>
      </c>
    </row>
    <row r="91">
      <c r="A91" s="265"/>
      <c r="B91" s="265"/>
      <c r="D91" s="447"/>
      <c r="E91" s="447"/>
    </row>
    <row r="92">
      <c r="A92" s="453"/>
      <c r="B92" s="454" t="s">
        <v>24</v>
      </c>
      <c r="C92" s="268" t="s">
        <v>236</v>
      </c>
      <c r="D92" s="269" t="s">
        <v>26</v>
      </c>
    </row>
    <row r="93">
      <c r="A93" s="261" t="s">
        <v>257</v>
      </c>
      <c r="B93" s="455">
        <f>100%-B85*1.5</f>
        <v>0.625</v>
      </c>
      <c r="C93" s="456">
        <f>100%-B85</f>
        <v>0.75</v>
      </c>
      <c r="D93" s="457">
        <f>100%-B85/2</f>
        <v>0.875</v>
      </c>
      <c r="E93" s="302" t="s">
        <v>258</v>
      </c>
    </row>
    <row r="94">
      <c r="A94" s="261" t="s">
        <v>259</v>
      </c>
      <c r="B94" s="299">
        <f>B82*0.96</f>
        <v>0.545477603</v>
      </c>
      <c r="C94" s="300">
        <f>B82*0.98</f>
        <v>0.5568417197</v>
      </c>
      <c r="D94" s="301">
        <f>B82</f>
        <v>0.5682058365</v>
      </c>
      <c r="E94" s="217" t="s">
        <v>260</v>
      </c>
    </row>
    <row r="95">
      <c r="A95" s="261" t="s">
        <v>261</v>
      </c>
      <c r="B95" s="458">
        <f t="shared" ref="B95:D95" si="33">C89</f>
        <v>0.64</v>
      </c>
      <c r="C95" s="459">
        <f t="shared" si="33"/>
        <v>0.72</v>
      </c>
      <c r="D95" s="460">
        <f t="shared" si="33"/>
        <v>0.8</v>
      </c>
      <c r="E95" s="217" t="s">
        <v>262</v>
      </c>
    </row>
    <row r="96">
      <c r="A96" s="261" t="s">
        <v>263</v>
      </c>
      <c r="B96" s="458">
        <f t="shared" ref="B96:D96" si="34">C90</f>
        <v>0.47</v>
      </c>
      <c r="C96" s="459">
        <f t="shared" si="34"/>
        <v>0.53</v>
      </c>
      <c r="D96" s="460">
        <f t="shared" si="34"/>
        <v>0.59</v>
      </c>
      <c r="E96" s="217" t="s">
        <v>264</v>
      </c>
    </row>
    <row r="97">
      <c r="A97" s="261" t="s">
        <v>265</v>
      </c>
      <c r="B97" s="299">
        <v>0.3</v>
      </c>
      <c r="C97" s="300">
        <v>0.25</v>
      </c>
      <c r="D97" s="301">
        <v>0.2</v>
      </c>
      <c r="E97" s="217" t="s">
        <v>124</v>
      </c>
    </row>
    <row r="98">
      <c r="A98" s="261" t="s">
        <v>266</v>
      </c>
      <c r="B98" s="299">
        <v>0.5</v>
      </c>
      <c r="C98" s="300">
        <v>0.4</v>
      </c>
      <c r="D98" s="301">
        <v>0.3</v>
      </c>
      <c r="E98" s="217" t="s">
        <v>124</v>
      </c>
    </row>
    <row r="99">
      <c r="A99" s="261" t="s">
        <v>267</v>
      </c>
      <c r="B99" s="458">
        <f t="shared" ref="B99:D99" si="35">1-$B$84*B97</f>
        <v>0.9426148295</v>
      </c>
      <c r="C99" s="459">
        <f t="shared" si="35"/>
        <v>0.9521790246</v>
      </c>
      <c r="D99" s="460">
        <f t="shared" si="35"/>
        <v>0.9617432196</v>
      </c>
    </row>
    <row r="100">
      <c r="A100" s="261" t="s">
        <v>268</v>
      </c>
      <c r="B100" s="458">
        <f t="shared" ref="B100:D100" si="36">1-$B$84*B98</f>
        <v>0.9043580491</v>
      </c>
      <c r="C100" s="459">
        <f t="shared" si="36"/>
        <v>0.9234864393</v>
      </c>
      <c r="D100" s="460">
        <f t="shared" si="36"/>
        <v>0.9426148295</v>
      </c>
    </row>
    <row r="101">
      <c r="A101" s="265"/>
      <c r="B101" s="461"/>
      <c r="C101" s="462"/>
      <c r="D101" s="463"/>
    </row>
    <row r="102">
      <c r="A102" s="261" t="s">
        <v>269</v>
      </c>
      <c r="B102" s="464">
        <f t="shared" ref="B102:D102" si="37">B93*B94*B95*B99</f>
        <v>0.2056701111</v>
      </c>
      <c r="C102" s="465">
        <f t="shared" si="37"/>
        <v>0.286315023</v>
      </c>
      <c r="D102" s="466">
        <f t="shared" si="37"/>
        <v>0.3825276774</v>
      </c>
      <c r="E102" s="30" t="s">
        <v>270</v>
      </c>
    </row>
    <row r="103">
      <c r="A103" s="261" t="s">
        <v>271</v>
      </c>
      <c r="B103" s="464">
        <f t="shared" ref="B103:D103" si="38">B93*B94*B96*B100</f>
        <v>0.1449089491</v>
      </c>
      <c r="C103" s="465">
        <f t="shared" si="38"/>
        <v>0.2044087214</v>
      </c>
      <c r="D103" s="465">
        <f t="shared" si="38"/>
        <v>0.2765031116</v>
      </c>
      <c r="E103" s="146" t="s">
        <v>270</v>
      </c>
    </row>
    <row r="104">
      <c r="A104" s="261" t="s">
        <v>272</v>
      </c>
      <c r="B104" s="85">
        <f>numberHomesGasHeating*B70*B102/1000000</f>
        <v>1386.332524</v>
      </c>
      <c r="C104" s="86">
        <f>numberHomesGasHeating*C70*C102/1000000</f>
        <v>2798.660582</v>
      </c>
      <c r="D104" s="87">
        <f>numberHomesGasHeating*D70*D102/1000000</f>
        <v>4891.654397</v>
      </c>
      <c r="E104" s="217" t="s">
        <v>273</v>
      </c>
    </row>
    <row r="105">
      <c r="A105" s="261" t="s">
        <v>274</v>
      </c>
      <c r="B105" s="116">
        <f>numberHomesGasHeating*B71*B103/1000000</f>
        <v>1366.699678</v>
      </c>
      <c r="C105" s="117">
        <f>numberHomesGasHeating*C71*C103/1000000</f>
        <v>2551.561534</v>
      </c>
      <c r="D105" s="118">
        <f>numberHomesGasHeating*D71*D103/1000000</f>
        <v>4326.207429</v>
      </c>
      <c r="E105" s="217" t="s">
        <v>273</v>
      </c>
    </row>
    <row r="106">
      <c r="A106" s="265"/>
      <c r="B106" s="143"/>
      <c r="C106" s="143"/>
      <c r="D106" s="143"/>
    </row>
    <row r="107">
      <c r="A107" s="265"/>
    </row>
    <row r="108">
      <c r="A108" s="265"/>
    </row>
    <row r="109">
      <c r="A109" s="109" t="s">
        <v>3</v>
      </c>
      <c r="B109" s="308" t="s">
        <v>10</v>
      </c>
      <c r="C109" s="178"/>
      <c r="D109" s="178"/>
      <c r="E109" s="178"/>
      <c r="F109" s="178"/>
      <c r="G109" s="178"/>
      <c r="H109" s="178"/>
      <c r="I109" s="178"/>
      <c r="J109" s="179"/>
      <c r="K109" s="308" t="s">
        <v>137</v>
      </c>
      <c r="L109" s="178"/>
      <c r="M109" s="178"/>
      <c r="N109" s="178"/>
      <c r="O109" s="178"/>
      <c r="P109" s="178"/>
      <c r="Q109" s="178"/>
      <c r="R109" s="178"/>
      <c r="S109" s="179"/>
      <c r="T109" s="320" t="s">
        <v>138</v>
      </c>
      <c r="U109" s="185"/>
      <c r="V109" s="185"/>
      <c r="W109" s="185"/>
      <c r="X109" s="185"/>
      <c r="Y109" s="185"/>
      <c r="Z109" s="185"/>
      <c r="AA109" s="185"/>
      <c r="AB109" s="185"/>
      <c r="AC109" s="185"/>
      <c r="AD109" s="185"/>
      <c r="AE109" s="185"/>
      <c r="AF109" s="185"/>
      <c r="AG109" s="185"/>
      <c r="AH109" s="185"/>
    </row>
    <row r="110">
      <c r="A110" s="261"/>
      <c r="B110" s="40" t="s">
        <v>21</v>
      </c>
      <c r="C110" s="41"/>
      <c r="D110" s="42"/>
      <c r="E110" s="40" t="s">
        <v>22</v>
      </c>
      <c r="F110" s="41"/>
      <c r="G110" s="42"/>
      <c r="H110" s="43" t="s">
        <v>23</v>
      </c>
      <c r="I110" s="44"/>
      <c r="J110" s="45"/>
      <c r="K110" s="40" t="s">
        <v>21</v>
      </c>
      <c r="L110" s="41"/>
      <c r="M110" s="42"/>
      <c r="N110" s="40" t="s">
        <v>22</v>
      </c>
      <c r="O110" s="41"/>
      <c r="P110" s="42"/>
      <c r="Q110" s="43" t="s">
        <v>23</v>
      </c>
      <c r="R110" s="44"/>
      <c r="S110" s="45"/>
      <c r="T110" s="467"/>
    </row>
    <row r="111">
      <c r="A111" s="113" t="s">
        <v>275</v>
      </c>
      <c r="B111" s="58" t="s">
        <v>24</v>
      </c>
      <c r="C111" s="54" t="s">
        <v>25</v>
      </c>
      <c r="D111" s="55" t="s">
        <v>26</v>
      </c>
      <c r="E111" s="58" t="s">
        <v>24</v>
      </c>
      <c r="F111" s="54" t="s">
        <v>25</v>
      </c>
      <c r="G111" s="55" t="s">
        <v>26</v>
      </c>
      <c r="H111" s="58" t="s">
        <v>24</v>
      </c>
      <c r="I111" s="54" t="s">
        <v>25</v>
      </c>
      <c r="J111" s="55" t="s">
        <v>26</v>
      </c>
      <c r="K111" s="58" t="s">
        <v>24</v>
      </c>
      <c r="L111" s="54" t="s">
        <v>25</v>
      </c>
      <c r="M111" s="55" t="s">
        <v>26</v>
      </c>
      <c r="N111" s="58" t="s">
        <v>24</v>
      </c>
      <c r="O111" s="54" t="s">
        <v>25</v>
      </c>
      <c r="P111" s="55" t="s">
        <v>26</v>
      </c>
      <c r="Q111" s="58" t="s">
        <v>24</v>
      </c>
      <c r="R111" s="54" t="s">
        <v>25</v>
      </c>
      <c r="S111" s="55" t="s">
        <v>26</v>
      </c>
      <c r="T111" s="321"/>
    </row>
    <row r="112">
      <c r="A112" s="57" t="s">
        <v>73</v>
      </c>
      <c r="B112" s="201">
        <f t="shared" ref="B112:D112" si="39">B70</f>
        <v>286.524747</v>
      </c>
      <c r="C112" s="202">
        <f t="shared" si="39"/>
        <v>415.5009326</v>
      </c>
      <c r="D112" s="203">
        <f t="shared" si="39"/>
        <v>543.5741687</v>
      </c>
      <c r="E112" s="142">
        <v>0.0</v>
      </c>
      <c r="F112" s="143">
        <v>0.0</v>
      </c>
      <c r="G112" s="144">
        <v>0.0</v>
      </c>
      <c r="H112" s="142">
        <v>0.0</v>
      </c>
      <c r="I112" s="143">
        <v>0.0</v>
      </c>
      <c r="J112" s="144">
        <v>0.0</v>
      </c>
      <c r="K112" s="201">
        <f>B102*numberDwellingsUK/1000</f>
        <v>5790.399081</v>
      </c>
      <c r="L112" s="202">
        <f>C102*numberDwellingsUK/1000</f>
        <v>8060.861334</v>
      </c>
      <c r="M112" s="203">
        <f>D102*numberDwellingsUK/1000</f>
        <v>10769.61499</v>
      </c>
      <c r="N112" s="142">
        <v>0.0</v>
      </c>
      <c r="O112" s="143">
        <v>0.0</v>
      </c>
      <c r="P112" s="144">
        <v>0.0</v>
      </c>
      <c r="Q112" s="142">
        <v>0.0</v>
      </c>
      <c r="R112" s="143">
        <v>0.0</v>
      </c>
      <c r="S112" s="144">
        <v>0.0</v>
      </c>
      <c r="T112" s="468" t="s">
        <v>33</v>
      </c>
    </row>
    <row r="113">
      <c r="A113" s="57" t="s">
        <v>276</v>
      </c>
      <c r="B113" s="201">
        <f t="shared" ref="B113:D113" si="40">B71</f>
        <v>400.9071422</v>
      </c>
      <c r="C113" s="202">
        <f t="shared" si="40"/>
        <v>530.6064596</v>
      </c>
      <c r="D113" s="203">
        <f t="shared" si="40"/>
        <v>665.0789829</v>
      </c>
      <c r="E113" s="142">
        <v>0.0</v>
      </c>
      <c r="F113" s="143">
        <v>0.0</v>
      </c>
      <c r="G113" s="144">
        <v>0.0</v>
      </c>
      <c r="H113" s="142">
        <v>0.0</v>
      </c>
      <c r="I113" s="143">
        <v>0.0</v>
      </c>
      <c r="J113" s="144">
        <v>0.0</v>
      </c>
      <c r="K113" s="201">
        <f>B103*numberDwellingsUK/1000</f>
        <v>4079.740325</v>
      </c>
      <c r="L113" s="202">
        <f>C103*numberDwellingsUK/1000</f>
        <v>5754.886143</v>
      </c>
      <c r="M113" s="203">
        <f>D103*numberDwellingsUK/1000</f>
        <v>7784.618557</v>
      </c>
      <c r="N113" s="142">
        <v>0.0</v>
      </c>
      <c r="O113" s="143">
        <v>0.0</v>
      </c>
      <c r="P113" s="144">
        <v>0.0</v>
      </c>
      <c r="Q113" s="142">
        <v>0.0</v>
      </c>
      <c r="R113" s="143">
        <v>0.0</v>
      </c>
      <c r="S113" s="144">
        <v>0.0</v>
      </c>
      <c r="T113" s="468" t="s">
        <v>33</v>
      </c>
    </row>
    <row r="114">
      <c r="A114" s="57" t="s">
        <v>88</v>
      </c>
      <c r="B114" s="201">
        <f t="shared" ref="B114:D114" si="41">B72</f>
        <v>610.8796496</v>
      </c>
      <c r="C114" s="202">
        <f t="shared" si="41"/>
        <v>935.2345522</v>
      </c>
      <c r="D114" s="203">
        <f t="shared" si="41"/>
        <v>1028.758007</v>
      </c>
      <c r="E114" s="142">
        <v>0.0</v>
      </c>
      <c r="F114" s="143">
        <v>0.0</v>
      </c>
      <c r="G114" s="144">
        <v>0.0</v>
      </c>
      <c r="H114" s="142">
        <v>0.0</v>
      </c>
      <c r="I114" s="143">
        <v>0.0</v>
      </c>
      <c r="J114" s="144">
        <v>0.0</v>
      </c>
      <c r="K114" s="201">
        <f>B102*numberDwellingsUK/1000</f>
        <v>5790.399081</v>
      </c>
      <c r="L114" s="202">
        <f>C102*numberDwellingsUK/1000</f>
        <v>8060.861334</v>
      </c>
      <c r="M114" s="203">
        <f>D102*numberDwellingsUK/1000</f>
        <v>10769.61499</v>
      </c>
      <c r="N114" s="142">
        <v>0.0</v>
      </c>
      <c r="O114" s="143">
        <v>0.0</v>
      </c>
      <c r="P114" s="144">
        <v>0.0</v>
      </c>
      <c r="Q114" s="142">
        <v>0.0</v>
      </c>
      <c r="R114" s="143">
        <v>0.0</v>
      </c>
      <c r="S114" s="144">
        <v>0.0</v>
      </c>
      <c r="T114" s="469" t="s">
        <v>277</v>
      </c>
    </row>
    <row r="115">
      <c r="A115" s="57" t="s">
        <v>53</v>
      </c>
      <c r="B115" s="470">
        <f t="shared" ref="B115:D115" si="42">B73</f>
        <v>864.1518565</v>
      </c>
      <c r="C115" s="471">
        <f t="shared" si="42"/>
        <v>1327.396571</v>
      </c>
      <c r="D115" s="472">
        <f t="shared" si="42"/>
        <v>1460.136228</v>
      </c>
      <c r="E115" s="473">
        <v>0.0</v>
      </c>
      <c r="F115" s="186">
        <v>0.0</v>
      </c>
      <c r="G115" s="216">
        <v>0.0</v>
      </c>
      <c r="H115" s="473">
        <v>0.0</v>
      </c>
      <c r="I115" s="186">
        <v>0.0</v>
      </c>
      <c r="J115" s="216">
        <v>0.0</v>
      </c>
      <c r="K115" s="470">
        <f>B103*numberDwellingsUK/1000</f>
        <v>4079.740325</v>
      </c>
      <c r="L115" s="471">
        <f>C103*numberDwellingsUK/1000</f>
        <v>5754.886143</v>
      </c>
      <c r="M115" s="472">
        <f>D103*numberDwellingsUK/1000</f>
        <v>7784.618557</v>
      </c>
      <c r="N115" s="473">
        <v>0.0</v>
      </c>
      <c r="O115" s="186">
        <v>0.0</v>
      </c>
      <c r="P115" s="216">
        <v>0.0</v>
      </c>
      <c r="Q115" s="473">
        <v>0.0</v>
      </c>
      <c r="R115" s="186">
        <v>0.0</v>
      </c>
      <c r="S115" s="216">
        <v>0.0</v>
      </c>
      <c r="T115" s="469" t="s">
        <v>277</v>
      </c>
    </row>
    <row r="116">
      <c r="A116" s="265"/>
    </row>
    <row r="117">
      <c r="A117" s="265"/>
    </row>
    <row r="118">
      <c r="A118" s="265"/>
    </row>
    <row r="119">
      <c r="A119" s="265"/>
    </row>
    <row r="120">
      <c r="A120" s="265"/>
    </row>
    <row r="121">
      <c r="A121" s="265"/>
    </row>
    <row r="122">
      <c r="A122" s="265"/>
    </row>
    <row r="123">
      <c r="A123" s="265"/>
    </row>
    <row r="124">
      <c r="A124" s="265"/>
    </row>
    <row r="125">
      <c r="A125" s="265"/>
    </row>
    <row r="126">
      <c r="A126" s="265"/>
    </row>
    <row r="127">
      <c r="A127" s="265"/>
    </row>
    <row r="128">
      <c r="A128" s="265"/>
    </row>
    <row r="129">
      <c r="A129" s="265"/>
    </row>
    <row r="130">
      <c r="A130" s="265"/>
    </row>
    <row r="131">
      <c r="A131" s="265"/>
    </row>
    <row r="132">
      <c r="A132" s="265"/>
    </row>
    <row r="133">
      <c r="A133" s="265"/>
    </row>
    <row r="134">
      <c r="A134" s="265"/>
    </row>
    <row r="135">
      <c r="A135" s="265"/>
    </row>
    <row r="136">
      <c r="A136" s="265"/>
    </row>
    <row r="137">
      <c r="A137" s="265"/>
    </row>
    <row r="138">
      <c r="A138" s="265"/>
    </row>
    <row r="139">
      <c r="A139" s="265"/>
    </row>
    <row r="140">
      <c r="A140" s="265"/>
    </row>
    <row r="141">
      <c r="A141" s="265"/>
    </row>
    <row r="142">
      <c r="A142" s="265"/>
    </row>
    <row r="143">
      <c r="A143" s="265"/>
    </row>
    <row r="144">
      <c r="A144" s="265"/>
    </row>
    <row r="145">
      <c r="A145" s="265"/>
    </row>
    <row r="146">
      <c r="A146" s="265"/>
    </row>
    <row r="147">
      <c r="A147" s="265"/>
    </row>
    <row r="148">
      <c r="A148" s="265"/>
    </row>
    <row r="149">
      <c r="A149" s="265"/>
    </row>
    <row r="150">
      <c r="A150" s="265"/>
    </row>
    <row r="151">
      <c r="A151" s="265"/>
    </row>
    <row r="152">
      <c r="A152" s="265"/>
    </row>
    <row r="153">
      <c r="A153" s="265"/>
    </row>
    <row r="154">
      <c r="A154" s="265"/>
    </row>
    <row r="155">
      <c r="A155" s="265"/>
    </row>
    <row r="156">
      <c r="A156" s="265"/>
    </row>
    <row r="157">
      <c r="A157" s="265"/>
    </row>
    <row r="158">
      <c r="A158" s="265"/>
    </row>
    <row r="159">
      <c r="A159" s="265"/>
    </row>
    <row r="160">
      <c r="A160" s="265"/>
    </row>
    <row r="161">
      <c r="A161" s="265"/>
    </row>
    <row r="162">
      <c r="A162" s="265"/>
    </row>
    <row r="163">
      <c r="A163" s="265"/>
    </row>
    <row r="164">
      <c r="A164" s="265"/>
    </row>
    <row r="165">
      <c r="A165" s="265"/>
    </row>
    <row r="166">
      <c r="A166" s="265"/>
    </row>
    <row r="167">
      <c r="A167" s="265"/>
    </row>
    <row r="168">
      <c r="A168" s="265"/>
    </row>
    <row r="169">
      <c r="A169" s="265"/>
    </row>
    <row r="170">
      <c r="A170" s="265"/>
    </row>
    <row r="171">
      <c r="A171" s="265"/>
    </row>
    <row r="172">
      <c r="A172" s="265"/>
    </row>
    <row r="173">
      <c r="A173" s="265"/>
    </row>
    <row r="174">
      <c r="A174" s="265"/>
    </row>
    <row r="175">
      <c r="A175" s="265"/>
    </row>
    <row r="176">
      <c r="A176" s="265"/>
    </row>
    <row r="177">
      <c r="A177" s="265"/>
    </row>
    <row r="178">
      <c r="A178" s="265"/>
    </row>
    <row r="179">
      <c r="A179" s="265"/>
    </row>
    <row r="180">
      <c r="A180" s="265"/>
    </row>
    <row r="181">
      <c r="A181" s="265"/>
    </row>
    <row r="182">
      <c r="A182" s="265"/>
    </row>
    <row r="183">
      <c r="A183" s="265"/>
    </row>
    <row r="184">
      <c r="A184" s="265"/>
    </row>
    <row r="185">
      <c r="A185" s="265"/>
    </row>
    <row r="186">
      <c r="A186" s="265"/>
    </row>
    <row r="187">
      <c r="A187" s="265"/>
    </row>
    <row r="188">
      <c r="A188" s="265"/>
    </row>
    <row r="189">
      <c r="A189" s="265"/>
    </row>
    <row r="190">
      <c r="A190" s="265"/>
    </row>
    <row r="191">
      <c r="A191" s="265"/>
    </row>
    <row r="192">
      <c r="A192" s="265"/>
    </row>
    <row r="193">
      <c r="A193" s="265"/>
    </row>
    <row r="194">
      <c r="A194" s="265"/>
    </row>
    <row r="195">
      <c r="A195" s="265"/>
    </row>
    <row r="196">
      <c r="A196" s="265"/>
    </row>
    <row r="197">
      <c r="A197" s="265"/>
    </row>
    <row r="198">
      <c r="A198" s="265"/>
    </row>
    <row r="199">
      <c r="A199" s="265"/>
    </row>
    <row r="200">
      <c r="A200" s="265"/>
    </row>
    <row r="201">
      <c r="A201" s="265"/>
    </row>
    <row r="202">
      <c r="A202" s="265"/>
    </row>
    <row r="203">
      <c r="A203" s="265"/>
    </row>
    <row r="204">
      <c r="A204" s="265"/>
    </row>
    <row r="205">
      <c r="A205" s="265"/>
    </row>
    <row r="206">
      <c r="A206" s="265"/>
    </row>
    <row r="207">
      <c r="A207" s="265"/>
    </row>
    <row r="208">
      <c r="A208" s="265"/>
    </row>
    <row r="209">
      <c r="A209" s="265"/>
    </row>
    <row r="210">
      <c r="A210" s="265"/>
    </row>
    <row r="211">
      <c r="A211" s="265"/>
    </row>
    <row r="212">
      <c r="A212" s="265"/>
    </row>
    <row r="213">
      <c r="A213" s="265"/>
    </row>
    <row r="214">
      <c r="A214" s="265"/>
    </row>
    <row r="215">
      <c r="A215" s="265"/>
    </row>
    <row r="216">
      <c r="A216" s="265"/>
    </row>
    <row r="217">
      <c r="A217" s="265"/>
    </row>
    <row r="218">
      <c r="A218" s="265"/>
    </row>
    <row r="219">
      <c r="A219" s="265"/>
    </row>
    <row r="220">
      <c r="A220" s="265"/>
    </row>
    <row r="221">
      <c r="A221" s="265"/>
    </row>
    <row r="222">
      <c r="A222" s="265"/>
    </row>
    <row r="223">
      <c r="A223" s="265"/>
    </row>
    <row r="224">
      <c r="A224" s="265"/>
    </row>
    <row r="225">
      <c r="A225" s="265"/>
    </row>
    <row r="226">
      <c r="A226" s="265"/>
    </row>
    <row r="227">
      <c r="A227" s="265"/>
    </row>
    <row r="228">
      <c r="A228" s="265"/>
    </row>
    <row r="229">
      <c r="A229" s="265"/>
    </row>
    <row r="230">
      <c r="A230" s="265"/>
    </row>
    <row r="231">
      <c r="A231" s="265"/>
    </row>
    <row r="232">
      <c r="A232" s="265"/>
    </row>
    <row r="233">
      <c r="A233" s="265"/>
    </row>
    <row r="234">
      <c r="A234" s="265"/>
    </row>
    <row r="235">
      <c r="A235" s="265"/>
    </row>
    <row r="236">
      <c r="A236" s="265"/>
    </row>
    <row r="237">
      <c r="A237" s="265"/>
    </row>
    <row r="238">
      <c r="A238" s="265"/>
    </row>
    <row r="239">
      <c r="A239" s="265"/>
    </row>
    <row r="240">
      <c r="A240" s="265"/>
    </row>
    <row r="241">
      <c r="A241" s="265"/>
    </row>
    <row r="242">
      <c r="A242" s="265"/>
    </row>
    <row r="243">
      <c r="A243" s="265"/>
    </row>
    <row r="244">
      <c r="A244" s="265"/>
    </row>
    <row r="245">
      <c r="A245" s="265"/>
    </row>
    <row r="246">
      <c r="A246" s="265"/>
    </row>
    <row r="247">
      <c r="A247" s="265"/>
    </row>
    <row r="248">
      <c r="A248" s="265"/>
    </row>
    <row r="249">
      <c r="A249" s="265"/>
    </row>
    <row r="250">
      <c r="A250" s="265"/>
    </row>
    <row r="251">
      <c r="A251" s="265"/>
    </row>
    <row r="252">
      <c r="A252" s="265"/>
    </row>
    <row r="253">
      <c r="A253" s="265"/>
    </row>
    <row r="254">
      <c r="A254" s="265"/>
    </row>
    <row r="255">
      <c r="A255" s="265"/>
    </row>
    <row r="256">
      <c r="A256" s="265"/>
    </row>
    <row r="257">
      <c r="A257" s="265"/>
    </row>
    <row r="258">
      <c r="A258" s="265"/>
    </row>
    <row r="259">
      <c r="A259" s="265"/>
    </row>
    <row r="260">
      <c r="A260" s="265"/>
    </row>
    <row r="261">
      <c r="A261" s="265"/>
    </row>
    <row r="262">
      <c r="A262" s="265"/>
    </row>
    <row r="263">
      <c r="A263" s="265"/>
    </row>
    <row r="264">
      <c r="A264" s="265"/>
    </row>
    <row r="265">
      <c r="A265" s="265"/>
    </row>
    <row r="266">
      <c r="A266" s="265"/>
    </row>
    <row r="267">
      <c r="A267" s="265"/>
    </row>
    <row r="268">
      <c r="A268" s="265"/>
    </row>
    <row r="269">
      <c r="A269" s="265"/>
    </row>
    <row r="270">
      <c r="A270" s="265"/>
    </row>
    <row r="271">
      <c r="A271" s="265"/>
    </row>
    <row r="272">
      <c r="A272" s="265"/>
    </row>
    <row r="273">
      <c r="A273" s="265"/>
    </row>
    <row r="274">
      <c r="A274" s="265"/>
    </row>
    <row r="275">
      <c r="A275" s="265"/>
    </row>
    <row r="276">
      <c r="A276" s="265"/>
    </row>
    <row r="277">
      <c r="A277" s="265"/>
    </row>
    <row r="278">
      <c r="A278" s="265"/>
    </row>
    <row r="279">
      <c r="A279" s="265"/>
    </row>
    <row r="280">
      <c r="A280" s="265"/>
    </row>
    <row r="281">
      <c r="A281" s="265"/>
    </row>
    <row r="282">
      <c r="A282" s="265"/>
    </row>
    <row r="283">
      <c r="A283" s="265"/>
    </row>
    <row r="284">
      <c r="A284" s="265"/>
    </row>
    <row r="285">
      <c r="A285" s="265"/>
    </row>
    <row r="286">
      <c r="A286" s="265"/>
    </row>
    <row r="287">
      <c r="A287" s="265"/>
    </row>
    <row r="288">
      <c r="A288" s="265"/>
    </row>
    <row r="289">
      <c r="A289" s="265"/>
    </row>
    <row r="290">
      <c r="A290" s="265"/>
    </row>
    <row r="291">
      <c r="A291" s="265"/>
    </row>
    <row r="292">
      <c r="A292" s="265"/>
    </row>
    <row r="293">
      <c r="A293" s="265"/>
    </row>
    <row r="294">
      <c r="A294" s="265"/>
    </row>
    <row r="295">
      <c r="A295" s="265"/>
    </row>
    <row r="296">
      <c r="A296" s="265"/>
    </row>
    <row r="297">
      <c r="A297" s="265"/>
    </row>
    <row r="298">
      <c r="A298" s="265"/>
    </row>
    <row r="299">
      <c r="A299" s="265"/>
    </row>
    <row r="300">
      <c r="A300" s="265"/>
    </row>
    <row r="301">
      <c r="A301" s="265"/>
    </row>
    <row r="302">
      <c r="A302" s="265"/>
    </row>
    <row r="303">
      <c r="A303" s="265"/>
    </row>
    <row r="304">
      <c r="A304" s="265"/>
    </row>
    <row r="305">
      <c r="A305" s="265"/>
    </row>
    <row r="306">
      <c r="A306" s="265"/>
    </row>
    <row r="307">
      <c r="A307" s="265"/>
    </row>
    <row r="308">
      <c r="A308" s="265"/>
    </row>
    <row r="309">
      <c r="A309" s="265"/>
    </row>
    <row r="310">
      <c r="A310" s="265"/>
    </row>
    <row r="311">
      <c r="A311" s="265"/>
    </row>
    <row r="312">
      <c r="A312" s="265"/>
    </row>
    <row r="313">
      <c r="A313" s="265"/>
    </row>
    <row r="314">
      <c r="A314" s="265"/>
    </row>
    <row r="315">
      <c r="A315" s="265"/>
    </row>
    <row r="316">
      <c r="A316" s="265"/>
    </row>
    <row r="317">
      <c r="A317" s="265"/>
    </row>
    <row r="318">
      <c r="A318" s="265"/>
    </row>
    <row r="319">
      <c r="A319" s="265"/>
    </row>
    <row r="320">
      <c r="A320" s="265"/>
    </row>
    <row r="321">
      <c r="A321" s="265"/>
    </row>
    <row r="322">
      <c r="A322" s="265"/>
    </row>
    <row r="323">
      <c r="A323" s="265"/>
    </row>
    <row r="324">
      <c r="A324" s="265"/>
    </row>
    <row r="325">
      <c r="A325" s="265"/>
    </row>
    <row r="326">
      <c r="A326" s="265"/>
    </row>
    <row r="327">
      <c r="A327" s="265"/>
    </row>
    <row r="328">
      <c r="A328" s="265"/>
    </row>
    <row r="329">
      <c r="A329" s="265"/>
    </row>
    <row r="330">
      <c r="A330" s="265"/>
    </row>
    <row r="331">
      <c r="A331" s="265"/>
    </row>
    <row r="332">
      <c r="A332" s="265"/>
    </row>
    <row r="333">
      <c r="A333" s="265"/>
    </row>
    <row r="334">
      <c r="A334" s="265"/>
    </row>
    <row r="335">
      <c r="A335" s="265"/>
    </row>
    <row r="336">
      <c r="A336" s="265"/>
    </row>
    <row r="337">
      <c r="A337" s="265"/>
    </row>
    <row r="338">
      <c r="A338" s="265"/>
    </row>
    <row r="339">
      <c r="A339" s="265"/>
    </row>
    <row r="340">
      <c r="A340" s="265"/>
    </row>
    <row r="341">
      <c r="A341" s="265"/>
    </row>
    <row r="342">
      <c r="A342" s="265"/>
    </row>
    <row r="343">
      <c r="A343" s="265"/>
    </row>
    <row r="344">
      <c r="A344" s="265"/>
    </row>
    <row r="345">
      <c r="A345" s="265"/>
    </row>
    <row r="346">
      <c r="A346" s="265"/>
    </row>
    <row r="347">
      <c r="A347" s="265"/>
    </row>
    <row r="348">
      <c r="A348" s="265"/>
    </row>
    <row r="349">
      <c r="A349" s="265"/>
    </row>
    <row r="350">
      <c r="A350" s="265"/>
    </row>
    <row r="351">
      <c r="A351" s="265"/>
    </row>
    <row r="352">
      <c r="A352" s="265"/>
    </row>
    <row r="353">
      <c r="A353" s="265"/>
    </row>
    <row r="354">
      <c r="A354" s="265"/>
    </row>
    <row r="355">
      <c r="A355" s="265"/>
    </row>
    <row r="356">
      <c r="A356" s="265"/>
    </row>
    <row r="357">
      <c r="A357" s="265"/>
    </row>
    <row r="358">
      <c r="A358" s="265"/>
    </row>
    <row r="359">
      <c r="A359" s="265"/>
    </row>
    <row r="360">
      <c r="A360" s="265"/>
    </row>
    <row r="361">
      <c r="A361" s="265"/>
    </row>
    <row r="362">
      <c r="A362" s="265"/>
    </row>
    <row r="363">
      <c r="A363" s="265"/>
    </row>
    <row r="364">
      <c r="A364" s="265"/>
    </row>
    <row r="365">
      <c r="A365" s="265"/>
    </row>
    <row r="366">
      <c r="A366" s="265"/>
    </row>
    <row r="367">
      <c r="A367" s="265"/>
    </row>
    <row r="368">
      <c r="A368" s="265"/>
    </row>
    <row r="369">
      <c r="A369" s="265"/>
    </row>
    <row r="370">
      <c r="A370" s="265"/>
    </row>
    <row r="371">
      <c r="A371" s="265"/>
    </row>
    <row r="372">
      <c r="A372" s="265"/>
    </row>
    <row r="373">
      <c r="A373" s="265"/>
    </row>
    <row r="374">
      <c r="A374" s="265"/>
    </row>
    <row r="375">
      <c r="A375" s="265"/>
    </row>
    <row r="376">
      <c r="A376" s="265"/>
    </row>
    <row r="377">
      <c r="A377" s="265"/>
    </row>
    <row r="378">
      <c r="A378" s="265"/>
    </row>
    <row r="379">
      <c r="A379" s="265"/>
    </row>
    <row r="380">
      <c r="A380" s="265"/>
    </row>
    <row r="381">
      <c r="A381" s="265"/>
    </row>
    <row r="382">
      <c r="A382" s="265"/>
    </row>
    <row r="383">
      <c r="A383" s="265"/>
    </row>
    <row r="384">
      <c r="A384" s="265"/>
    </row>
    <row r="385">
      <c r="A385" s="265"/>
    </row>
    <row r="386">
      <c r="A386" s="265"/>
    </row>
    <row r="387">
      <c r="A387" s="265"/>
    </row>
    <row r="388">
      <c r="A388" s="265"/>
    </row>
    <row r="389">
      <c r="A389" s="265"/>
    </row>
    <row r="390">
      <c r="A390" s="265"/>
    </row>
    <row r="391">
      <c r="A391" s="265"/>
    </row>
    <row r="392">
      <c r="A392" s="265"/>
    </row>
    <row r="393">
      <c r="A393" s="265"/>
    </row>
    <row r="394">
      <c r="A394" s="265"/>
    </row>
    <row r="395">
      <c r="A395" s="265"/>
    </row>
    <row r="396">
      <c r="A396" s="265"/>
    </row>
    <row r="397">
      <c r="A397" s="265"/>
    </row>
    <row r="398">
      <c r="A398" s="265"/>
    </row>
    <row r="399">
      <c r="A399" s="265"/>
    </row>
    <row r="400">
      <c r="A400" s="265"/>
    </row>
    <row r="401">
      <c r="A401" s="265"/>
    </row>
    <row r="402">
      <c r="A402" s="265"/>
    </row>
    <row r="403">
      <c r="A403" s="265"/>
    </row>
    <row r="404">
      <c r="A404" s="265"/>
    </row>
    <row r="405">
      <c r="A405" s="265"/>
    </row>
    <row r="406">
      <c r="A406" s="265"/>
    </row>
    <row r="407">
      <c r="A407" s="265"/>
    </row>
    <row r="408">
      <c r="A408" s="265"/>
    </row>
    <row r="409">
      <c r="A409" s="265"/>
    </row>
    <row r="410">
      <c r="A410" s="265"/>
    </row>
    <row r="411">
      <c r="A411" s="265"/>
    </row>
    <row r="412">
      <c r="A412" s="265"/>
    </row>
    <row r="413">
      <c r="A413" s="265"/>
    </row>
    <row r="414">
      <c r="A414" s="265"/>
    </row>
    <row r="415">
      <c r="A415" s="265"/>
    </row>
    <row r="416">
      <c r="A416" s="265"/>
    </row>
    <row r="417">
      <c r="A417" s="265"/>
    </row>
    <row r="418">
      <c r="A418" s="265"/>
    </row>
    <row r="419">
      <c r="A419" s="265"/>
    </row>
    <row r="420">
      <c r="A420" s="265"/>
    </row>
    <row r="421">
      <c r="A421" s="265"/>
    </row>
    <row r="422">
      <c r="A422" s="265"/>
    </row>
    <row r="423">
      <c r="A423" s="265"/>
    </row>
    <row r="424">
      <c r="A424" s="265"/>
    </row>
    <row r="425">
      <c r="A425" s="265"/>
    </row>
    <row r="426">
      <c r="A426" s="265"/>
    </row>
    <row r="427">
      <c r="A427" s="265"/>
    </row>
    <row r="428">
      <c r="A428" s="265"/>
    </row>
    <row r="429">
      <c r="A429" s="265"/>
    </row>
    <row r="430">
      <c r="A430" s="265"/>
    </row>
    <row r="431">
      <c r="A431" s="265"/>
    </row>
    <row r="432">
      <c r="A432" s="265"/>
    </row>
    <row r="433">
      <c r="A433" s="265"/>
    </row>
    <row r="434">
      <c r="A434" s="265"/>
    </row>
    <row r="435">
      <c r="A435" s="265"/>
    </row>
    <row r="436">
      <c r="A436" s="265"/>
    </row>
    <row r="437">
      <c r="A437" s="265"/>
    </row>
    <row r="438">
      <c r="A438" s="265"/>
    </row>
    <row r="439">
      <c r="A439" s="265"/>
    </row>
    <row r="440">
      <c r="A440" s="265"/>
    </row>
    <row r="441">
      <c r="A441" s="265"/>
    </row>
    <row r="442">
      <c r="A442" s="265"/>
    </row>
    <row r="443">
      <c r="A443" s="265"/>
    </row>
    <row r="444">
      <c r="A444" s="265"/>
    </row>
    <row r="445">
      <c r="A445" s="265"/>
    </row>
    <row r="446">
      <c r="A446" s="265"/>
    </row>
    <row r="447">
      <c r="A447" s="265"/>
    </row>
    <row r="448">
      <c r="A448" s="265"/>
    </row>
    <row r="449">
      <c r="A449" s="265"/>
    </row>
    <row r="450">
      <c r="A450" s="265"/>
    </row>
    <row r="451">
      <c r="A451" s="265"/>
    </row>
    <row r="452">
      <c r="A452" s="265"/>
    </row>
    <row r="453">
      <c r="A453" s="265"/>
    </row>
    <row r="454">
      <c r="A454" s="265"/>
    </row>
    <row r="455">
      <c r="A455" s="265"/>
    </row>
    <row r="456">
      <c r="A456" s="265"/>
    </row>
    <row r="457">
      <c r="A457" s="265"/>
    </row>
    <row r="458">
      <c r="A458" s="265"/>
    </row>
    <row r="459">
      <c r="A459" s="265"/>
    </row>
    <row r="460">
      <c r="A460" s="265"/>
    </row>
    <row r="461">
      <c r="A461" s="265"/>
    </row>
    <row r="462">
      <c r="A462" s="265"/>
    </row>
    <row r="463">
      <c r="A463" s="265"/>
    </row>
    <row r="464">
      <c r="A464" s="265"/>
    </row>
    <row r="465">
      <c r="A465" s="265"/>
    </row>
    <row r="466">
      <c r="A466" s="265"/>
    </row>
    <row r="467">
      <c r="A467" s="265"/>
    </row>
    <row r="468">
      <c r="A468" s="265"/>
    </row>
    <row r="469">
      <c r="A469" s="265"/>
    </row>
    <row r="470">
      <c r="A470" s="265"/>
    </row>
    <row r="471">
      <c r="A471" s="265"/>
    </row>
    <row r="472">
      <c r="A472" s="265"/>
    </row>
    <row r="473">
      <c r="A473" s="265"/>
    </row>
    <row r="474">
      <c r="A474" s="265"/>
    </row>
    <row r="475">
      <c r="A475" s="265"/>
    </row>
    <row r="476">
      <c r="A476" s="265"/>
    </row>
    <row r="477">
      <c r="A477" s="265"/>
    </row>
    <row r="478">
      <c r="A478" s="265"/>
    </row>
    <row r="479">
      <c r="A479" s="265"/>
    </row>
    <row r="480">
      <c r="A480" s="265"/>
    </row>
    <row r="481">
      <c r="A481" s="265"/>
    </row>
    <row r="482">
      <c r="A482" s="265"/>
    </row>
    <row r="483">
      <c r="A483" s="265"/>
    </row>
    <row r="484">
      <c r="A484" s="265"/>
    </row>
    <row r="485">
      <c r="A485" s="265"/>
    </row>
    <row r="486">
      <c r="A486" s="265"/>
    </row>
    <row r="487">
      <c r="A487" s="265"/>
    </row>
    <row r="488">
      <c r="A488" s="265"/>
    </row>
    <row r="489">
      <c r="A489" s="265"/>
    </row>
    <row r="490">
      <c r="A490" s="265"/>
    </row>
    <row r="491">
      <c r="A491" s="265"/>
    </row>
    <row r="492">
      <c r="A492" s="265"/>
    </row>
    <row r="493">
      <c r="A493" s="265"/>
    </row>
    <row r="494">
      <c r="A494" s="265"/>
    </row>
    <row r="495">
      <c r="A495" s="265"/>
    </row>
    <row r="496">
      <c r="A496" s="265"/>
    </row>
    <row r="497">
      <c r="A497" s="265"/>
    </row>
    <row r="498">
      <c r="A498" s="265"/>
    </row>
    <row r="499">
      <c r="A499" s="265"/>
    </row>
    <row r="500">
      <c r="A500" s="265"/>
    </row>
    <row r="501">
      <c r="A501" s="265"/>
    </row>
    <row r="502">
      <c r="A502" s="265"/>
    </row>
    <row r="503">
      <c r="A503" s="265"/>
    </row>
    <row r="504">
      <c r="A504" s="265"/>
    </row>
    <row r="505">
      <c r="A505" s="265"/>
    </row>
    <row r="506">
      <c r="A506" s="265"/>
    </row>
    <row r="507">
      <c r="A507" s="265"/>
    </row>
    <row r="508">
      <c r="A508" s="265"/>
    </row>
    <row r="509">
      <c r="A509" s="265"/>
    </row>
    <row r="510">
      <c r="A510" s="265"/>
    </row>
    <row r="511">
      <c r="A511" s="265"/>
    </row>
    <row r="512">
      <c r="A512" s="265"/>
    </row>
    <row r="513">
      <c r="A513" s="265"/>
    </row>
    <row r="514">
      <c r="A514" s="265"/>
    </row>
    <row r="515">
      <c r="A515" s="265"/>
    </row>
    <row r="516">
      <c r="A516" s="265"/>
    </row>
    <row r="517">
      <c r="A517" s="265"/>
    </row>
    <row r="518">
      <c r="A518" s="265"/>
    </row>
    <row r="519">
      <c r="A519" s="265"/>
    </row>
    <row r="520">
      <c r="A520" s="265"/>
    </row>
    <row r="521">
      <c r="A521" s="265"/>
    </row>
    <row r="522">
      <c r="A522" s="265"/>
    </row>
    <row r="523">
      <c r="A523" s="265"/>
    </row>
    <row r="524">
      <c r="A524" s="265"/>
    </row>
    <row r="525">
      <c r="A525" s="265"/>
    </row>
    <row r="526">
      <c r="A526" s="265"/>
    </row>
    <row r="527">
      <c r="A527" s="265"/>
    </row>
    <row r="528">
      <c r="A528" s="265"/>
    </row>
    <row r="529">
      <c r="A529" s="265"/>
    </row>
    <row r="530">
      <c r="A530" s="265"/>
    </row>
    <row r="531">
      <c r="A531" s="265"/>
    </row>
    <row r="532">
      <c r="A532" s="265"/>
    </row>
    <row r="533">
      <c r="A533" s="265"/>
    </row>
    <row r="534">
      <c r="A534" s="265"/>
    </row>
    <row r="535">
      <c r="A535" s="265"/>
    </row>
    <row r="536">
      <c r="A536" s="265"/>
    </row>
    <row r="537">
      <c r="A537" s="265"/>
    </row>
    <row r="538">
      <c r="A538" s="265"/>
    </row>
    <row r="539">
      <c r="A539" s="265"/>
    </row>
    <row r="540">
      <c r="A540" s="265"/>
    </row>
    <row r="541">
      <c r="A541" s="265"/>
    </row>
    <row r="542">
      <c r="A542" s="265"/>
    </row>
    <row r="543">
      <c r="A543" s="265"/>
    </row>
    <row r="544">
      <c r="A544" s="265"/>
    </row>
    <row r="545">
      <c r="A545" s="265"/>
    </row>
    <row r="546">
      <c r="A546" s="265"/>
    </row>
    <row r="547">
      <c r="A547" s="265"/>
    </row>
    <row r="548">
      <c r="A548" s="265"/>
    </row>
    <row r="549">
      <c r="A549" s="265"/>
    </row>
    <row r="550">
      <c r="A550" s="265"/>
    </row>
    <row r="551">
      <c r="A551" s="265"/>
    </row>
    <row r="552">
      <c r="A552" s="265"/>
    </row>
    <row r="553">
      <c r="A553" s="265"/>
    </row>
    <row r="554">
      <c r="A554" s="265"/>
    </row>
    <row r="555">
      <c r="A555" s="265"/>
    </row>
    <row r="556">
      <c r="A556" s="265"/>
    </row>
    <row r="557">
      <c r="A557" s="265"/>
    </row>
    <row r="558">
      <c r="A558" s="265"/>
    </row>
    <row r="559">
      <c r="A559" s="265"/>
    </row>
    <row r="560">
      <c r="A560" s="265"/>
    </row>
    <row r="561">
      <c r="A561" s="265"/>
    </row>
    <row r="562">
      <c r="A562" s="265"/>
    </row>
    <row r="563">
      <c r="A563" s="265"/>
    </row>
    <row r="564">
      <c r="A564" s="265"/>
    </row>
    <row r="565">
      <c r="A565" s="265"/>
    </row>
    <row r="566">
      <c r="A566" s="265"/>
    </row>
    <row r="567">
      <c r="A567" s="265"/>
    </row>
    <row r="568">
      <c r="A568" s="265"/>
    </row>
    <row r="569">
      <c r="A569" s="265"/>
    </row>
    <row r="570">
      <c r="A570" s="265"/>
    </row>
    <row r="571">
      <c r="A571" s="265"/>
    </row>
    <row r="572">
      <c r="A572" s="265"/>
    </row>
    <row r="573">
      <c r="A573" s="265"/>
    </row>
    <row r="574">
      <c r="A574" s="265"/>
    </row>
    <row r="575">
      <c r="A575" s="265"/>
    </row>
    <row r="576">
      <c r="A576" s="265"/>
    </row>
    <row r="577">
      <c r="A577" s="265"/>
    </row>
    <row r="578">
      <c r="A578" s="265"/>
    </row>
    <row r="579">
      <c r="A579" s="265"/>
    </row>
    <row r="580">
      <c r="A580" s="265"/>
    </row>
    <row r="581">
      <c r="A581" s="265"/>
    </row>
    <row r="582">
      <c r="A582" s="265"/>
    </row>
    <row r="583">
      <c r="A583" s="265"/>
    </row>
    <row r="584">
      <c r="A584" s="265"/>
    </row>
    <row r="585">
      <c r="A585" s="265"/>
    </row>
    <row r="586">
      <c r="A586" s="265"/>
    </row>
    <row r="587">
      <c r="A587" s="265"/>
    </row>
    <row r="588">
      <c r="A588" s="265"/>
    </row>
    <row r="589">
      <c r="A589" s="265"/>
    </row>
    <row r="590">
      <c r="A590" s="265"/>
    </row>
    <row r="591">
      <c r="A591" s="265"/>
    </row>
    <row r="592">
      <c r="A592" s="265"/>
    </row>
    <row r="593">
      <c r="A593" s="265"/>
    </row>
    <row r="594">
      <c r="A594" s="265"/>
    </row>
    <row r="595">
      <c r="A595" s="265"/>
    </row>
    <row r="596">
      <c r="A596" s="265"/>
    </row>
    <row r="597">
      <c r="A597" s="265"/>
    </row>
    <row r="598">
      <c r="A598" s="265"/>
    </row>
    <row r="599">
      <c r="A599" s="265"/>
    </row>
    <row r="600">
      <c r="A600" s="265"/>
    </row>
    <row r="601">
      <c r="A601" s="265"/>
    </row>
    <row r="602">
      <c r="A602" s="265"/>
    </row>
    <row r="603">
      <c r="A603" s="265"/>
    </row>
    <row r="604">
      <c r="A604" s="265"/>
    </row>
    <row r="605">
      <c r="A605" s="265"/>
    </row>
    <row r="606">
      <c r="A606" s="265"/>
    </row>
    <row r="607">
      <c r="A607" s="265"/>
    </row>
    <row r="608">
      <c r="A608" s="265"/>
    </row>
    <row r="609">
      <c r="A609" s="265"/>
    </row>
    <row r="610">
      <c r="A610" s="265"/>
    </row>
    <row r="611">
      <c r="A611" s="265"/>
    </row>
    <row r="612">
      <c r="A612" s="265"/>
    </row>
    <row r="613">
      <c r="A613" s="265"/>
    </row>
    <row r="614">
      <c r="A614" s="265"/>
    </row>
    <row r="615">
      <c r="A615" s="265"/>
    </row>
    <row r="616">
      <c r="A616" s="265"/>
    </row>
    <row r="617">
      <c r="A617" s="265"/>
    </row>
    <row r="618">
      <c r="A618" s="265"/>
    </row>
    <row r="619">
      <c r="A619" s="265"/>
    </row>
    <row r="620">
      <c r="A620" s="265"/>
    </row>
    <row r="621">
      <c r="A621" s="265"/>
    </row>
    <row r="622">
      <c r="A622" s="265"/>
    </row>
    <row r="623">
      <c r="A623" s="265"/>
    </row>
    <row r="624">
      <c r="A624" s="265"/>
    </row>
    <row r="625">
      <c r="A625" s="265"/>
    </row>
    <row r="626">
      <c r="A626" s="265"/>
    </row>
    <row r="627">
      <c r="A627" s="265"/>
    </row>
    <row r="628">
      <c r="A628" s="265"/>
    </row>
    <row r="629">
      <c r="A629" s="265"/>
    </row>
    <row r="630">
      <c r="A630" s="265"/>
    </row>
    <row r="631">
      <c r="A631" s="265"/>
    </row>
    <row r="632">
      <c r="A632" s="265"/>
    </row>
    <row r="633">
      <c r="A633" s="265"/>
    </row>
    <row r="634">
      <c r="A634" s="265"/>
    </row>
    <row r="635">
      <c r="A635" s="265"/>
    </row>
    <row r="636">
      <c r="A636" s="265"/>
    </row>
    <row r="637">
      <c r="A637" s="265"/>
    </row>
    <row r="638">
      <c r="A638" s="265"/>
    </row>
    <row r="639">
      <c r="A639" s="265"/>
    </row>
    <row r="640">
      <c r="A640" s="265"/>
    </row>
    <row r="641">
      <c r="A641" s="265"/>
    </row>
    <row r="642">
      <c r="A642" s="265"/>
    </row>
    <row r="643">
      <c r="A643" s="265"/>
    </row>
    <row r="644">
      <c r="A644" s="265"/>
    </row>
    <row r="645">
      <c r="A645" s="265"/>
    </row>
    <row r="646">
      <c r="A646" s="265"/>
    </row>
    <row r="647">
      <c r="A647" s="265"/>
    </row>
    <row r="648">
      <c r="A648" s="265"/>
    </row>
    <row r="649">
      <c r="A649" s="265"/>
    </row>
    <row r="650">
      <c r="A650" s="265"/>
    </row>
    <row r="651">
      <c r="A651" s="265"/>
    </row>
    <row r="652">
      <c r="A652" s="265"/>
    </row>
    <row r="653">
      <c r="A653" s="265"/>
    </row>
    <row r="654">
      <c r="A654" s="265"/>
    </row>
    <row r="655">
      <c r="A655" s="265"/>
    </row>
    <row r="656">
      <c r="A656" s="265"/>
    </row>
    <row r="657">
      <c r="A657" s="265"/>
    </row>
    <row r="658">
      <c r="A658" s="265"/>
    </row>
    <row r="659">
      <c r="A659" s="265"/>
    </row>
    <row r="660">
      <c r="A660" s="265"/>
    </row>
    <row r="661">
      <c r="A661" s="265"/>
    </row>
    <row r="662">
      <c r="A662" s="265"/>
    </row>
    <row r="663">
      <c r="A663" s="265"/>
    </row>
    <row r="664">
      <c r="A664" s="265"/>
    </row>
    <row r="665">
      <c r="A665" s="265"/>
    </row>
    <row r="666">
      <c r="A666" s="265"/>
    </row>
    <row r="667">
      <c r="A667" s="265"/>
    </row>
    <row r="668">
      <c r="A668" s="265"/>
    </row>
    <row r="669">
      <c r="A669" s="265"/>
    </row>
    <row r="670">
      <c r="A670" s="265"/>
    </row>
    <row r="671">
      <c r="A671" s="265"/>
    </row>
    <row r="672">
      <c r="A672" s="265"/>
    </row>
    <row r="673">
      <c r="A673" s="265"/>
    </row>
    <row r="674">
      <c r="A674" s="265"/>
    </row>
    <row r="675">
      <c r="A675" s="265"/>
    </row>
    <row r="676">
      <c r="A676" s="265"/>
    </row>
    <row r="677">
      <c r="A677" s="265"/>
    </row>
    <row r="678">
      <c r="A678" s="265"/>
    </row>
    <row r="679">
      <c r="A679" s="265"/>
    </row>
    <row r="680">
      <c r="A680" s="265"/>
    </row>
    <row r="681">
      <c r="A681" s="265"/>
    </row>
    <row r="682">
      <c r="A682" s="265"/>
    </row>
    <row r="683">
      <c r="A683" s="265"/>
    </row>
    <row r="684">
      <c r="A684" s="265"/>
    </row>
    <row r="685">
      <c r="A685" s="265"/>
    </row>
    <row r="686">
      <c r="A686" s="265"/>
    </row>
    <row r="687">
      <c r="A687" s="265"/>
    </row>
    <row r="688">
      <c r="A688" s="265"/>
    </row>
    <row r="689">
      <c r="A689" s="265"/>
    </row>
    <row r="690">
      <c r="A690" s="265"/>
    </row>
    <row r="691">
      <c r="A691" s="265"/>
    </row>
    <row r="692">
      <c r="A692" s="265"/>
    </row>
    <row r="693">
      <c r="A693" s="265"/>
    </row>
    <row r="694">
      <c r="A694" s="265"/>
    </row>
    <row r="695">
      <c r="A695" s="265"/>
    </row>
    <row r="696">
      <c r="A696" s="265"/>
    </row>
    <row r="697">
      <c r="A697" s="265"/>
    </row>
    <row r="698">
      <c r="A698" s="265"/>
    </row>
    <row r="699">
      <c r="A699" s="265"/>
    </row>
    <row r="700">
      <c r="A700" s="265"/>
    </row>
    <row r="701">
      <c r="A701" s="265"/>
    </row>
    <row r="702">
      <c r="A702" s="265"/>
    </row>
    <row r="703">
      <c r="A703" s="265"/>
    </row>
    <row r="704">
      <c r="A704" s="265"/>
    </row>
    <row r="705">
      <c r="A705" s="265"/>
    </row>
    <row r="706">
      <c r="A706" s="265"/>
    </row>
    <row r="707">
      <c r="A707" s="265"/>
    </row>
    <row r="708">
      <c r="A708" s="265"/>
    </row>
    <row r="709">
      <c r="A709" s="265"/>
    </row>
    <row r="710">
      <c r="A710" s="265"/>
    </row>
    <row r="711">
      <c r="A711" s="265"/>
    </row>
    <row r="712">
      <c r="A712" s="265"/>
    </row>
    <row r="713">
      <c r="A713" s="265"/>
    </row>
    <row r="714">
      <c r="A714" s="265"/>
    </row>
    <row r="715">
      <c r="A715" s="265"/>
    </row>
    <row r="716">
      <c r="A716" s="265"/>
    </row>
    <row r="717">
      <c r="A717" s="265"/>
    </row>
    <row r="718">
      <c r="A718" s="265"/>
    </row>
    <row r="719">
      <c r="A719" s="265"/>
    </row>
    <row r="720">
      <c r="A720" s="265"/>
    </row>
    <row r="721">
      <c r="A721" s="265"/>
    </row>
    <row r="722">
      <c r="A722" s="265"/>
    </row>
    <row r="723">
      <c r="A723" s="265"/>
    </row>
    <row r="724">
      <c r="A724" s="265"/>
    </row>
    <row r="725">
      <c r="A725" s="265"/>
    </row>
    <row r="726">
      <c r="A726" s="265"/>
    </row>
    <row r="727">
      <c r="A727" s="265"/>
    </row>
    <row r="728">
      <c r="A728" s="265"/>
    </row>
    <row r="729">
      <c r="A729" s="265"/>
    </row>
    <row r="730">
      <c r="A730" s="265"/>
    </row>
    <row r="731">
      <c r="A731" s="265"/>
    </row>
    <row r="732">
      <c r="A732" s="265"/>
    </row>
    <row r="733">
      <c r="A733" s="265"/>
    </row>
    <row r="734">
      <c r="A734" s="265"/>
    </row>
    <row r="735">
      <c r="A735" s="265"/>
    </row>
    <row r="736">
      <c r="A736" s="265"/>
    </row>
    <row r="737">
      <c r="A737" s="265"/>
    </row>
    <row r="738">
      <c r="A738" s="265"/>
    </row>
    <row r="739">
      <c r="A739" s="265"/>
    </row>
    <row r="740">
      <c r="A740" s="265"/>
    </row>
    <row r="741">
      <c r="A741" s="265"/>
    </row>
    <row r="742">
      <c r="A742" s="265"/>
    </row>
    <row r="743">
      <c r="A743" s="265"/>
    </row>
    <row r="744">
      <c r="A744" s="265"/>
    </row>
    <row r="745">
      <c r="A745" s="265"/>
    </row>
    <row r="746">
      <c r="A746" s="265"/>
    </row>
    <row r="747">
      <c r="A747" s="265"/>
    </row>
    <row r="748">
      <c r="A748" s="265"/>
    </row>
    <row r="749">
      <c r="A749" s="265"/>
    </row>
    <row r="750">
      <c r="A750" s="265"/>
    </row>
    <row r="751">
      <c r="A751" s="265"/>
    </row>
    <row r="752">
      <c r="A752" s="265"/>
    </row>
    <row r="753">
      <c r="A753" s="265"/>
    </row>
    <row r="754">
      <c r="A754" s="265"/>
    </row>
    <row r="755">
      <c r="A755" s="265"/>
    </row>
    <row r="756">
      <c r="A756" s="265"/>
    </row>
    <row r="757">
      <c r="A757" s="265"/>
    </row>
    <row r="758">
      <c r="A758" s="265"/>
    </row>
    <row r="759">
      <c r="A759" s="265"/>
    </row>
    <row r="760">
      <c r="A760" s="265"/>
    </row>
    <row r="761">
      <c r="A761" s="265"/>
    </row>
    <row r="762">
      <c r="A762" s="265"/>
    </row>
    <row r="763">
      <c r="A763" s="265"/>
    </row>
    <row r="764">
      <c r="A764" s="265"/>
    </row>
    <row r="765">
      <c r="A765" s="265"/>
    </row>
    <row r="766">
      <c r="A766" s="265"/>
    </row>
    <row r="767">
      <c r="A767" s="265"/>
    </row>
    <row r="768">
      <c r="A768" s="265"/>
    </row>
    <row r="769">
      <c r="A769" s="265"/>
    </row>
    <row r="770">
      <c r="A770" s="265"/>
    </row>
    <row r="771">
      <c r="A771" s="265"/>
    </row>
    <row r="772">
      <c r="A772" s="265"/>
    </row>
    <row r="773">
      <c r="A773" s="265"/>
    </row>
    <row r="774">
      <c r="A774" s="265"/>
    </row>
    <row r="775">
      <c r="A775" s="265"/>
    </row>
    <row r="776">
      <c r="A776" s="265"/>
    </row>
    <row r="777">
      <c r="A777" s="265"/>
    </row>
    <row r="778">
      <c r="A778" s="265"/>
    </row>
    <row r="779">
      <c r="A779" s="265"/>
    </row>
    <row r="780">
      <c r="A780" s="265"/>
    </row>
    <row r="781">
      <c r="A781" s="265"/>
    </row>
    <row r="782">
      <c r="A782" s="265"/>
    </row>
    <row r="783">
      <c r="A783" s="265"/>
    </row>
    <row r="784">
      <c r="A784" s="265"/>
    </row>
    <row r="785">
      <c r="A785" s="265"/>
    </row>
    <row r="786">
      <c r="A786" s="265"/>
    </row>
    <row r="787">
      <c r="A787" s="265"/>
    </row>
    <row r="788">
      <c r="A788" s="265"/>
    </row>
    <row r="789">
      <c r="A789" s="265"/>
    </row>
    <row r="790">
      <c r="A790" s="265"/>
    </row>
    <row r="791">
      <c r="A791" s="265"/>
    </row>
    <row r="792">
      <c r="A792" s="265"/>
    </row>
    <row r="793">
      <c r="A793" s="265"/>
    </row>
    <row r="794">
      <c r="A794" s="265"/>
    </row>
    <row r="795">
      <c r="A795" s="265"/>
    </row>
    <row r="796">
      <c r="A796" s="265"/>
    </row>
    <row r="797">
      <c r="A797" s="265"/>
    </row>
    <row r="798">
      <c r="A798" s="265"/>
    </row>
    <row r="799">
      <c r="A799" s="265"/>
    </row>
    <row r="800">
      <c r="A800" s="265"/>
    </row>
    <row r="801">
      <c r="A801" s="265"/>
    </row>
    <row r="802">
      <c r="A802" s="265"/>
    </row>
    <row r="803">
      <c r="A803" s="265"/>
    </row>
    <row r="804">
      <c r="A804" s="265"/>
    </row>
    <row r="805">
      <c r="A805" s="265"/>
    </row>
    <row r="806">
      <c r="A806" s="265"/>
    </row>
    <row r="807">
      <c r="A807" s="265"/>
    </row>
    <row r="808">
      <c r="A808" s="265"/>
    </row>
    <row r="809">
      <c r="A809" s="265"/>
    </row>
    <row r="810">
      <c r="A810" s="265"/>
    </row>
    <row r="811">
      <c r="A811" s="265"/>
    </row>
    <row r="812">
      <c r="A812" s="265"/>
    </row>
    <row r="813">
      <c r="A813" s="265"/>
    </row>
    <row r="814">
      <c r="A814" s="265"/>
    </row>
    <row r="815">
      <c r="A815" s="265"/>
    </row>
    <row r="816">
      <c r="A816" s="265"/>
    </row>
    <row r="817">
      <c r="A817" s="265"/>
    </row>
    <row r="818">
      <c r="A818" s="265"/>
    </row>
    <row r="819">
      <c r="A819" s="265"/>
    </row>
    <row r="820">
      <c r="A820" s="265"/>
    </row>
    <row r="821">
      <c r="A821" s="265"/>
    </row>
    <row r="822">
      <c r="A822" s="265"/>
    </row>
    <row r="823">
      <c r="A823" s="265"/>
    </row>
    <row r="824">
      <c r="A824" s="265"/>
    </row>
    <row r="825">
      <c r="A825" s="265"/>
    </row>
    <row r="826">
      <c r="A826" s="265"/>
    </row>
    <row r="827">
      <c r="A827" s="265"/>
    </row>
    <row r="828">
      <c r="A828" s="265"/>
    </row>
    <row r="829">
      <c r="A829" s="265"/>
    </row>
    <row r="830">
      <c r="A830" s="265"/>
    </row>
    <row r="831">
      <c r="A831" s="265"/>
    </row>
    <row r="832">
      <c r="A832" s="265"/>
    </row>
    <row r="833">
      <c r="A833" s="265"/>
    </row>
    <row r="834">
      <c r="A834" s="265"/>
    </row>
    <row r="835">
      <c r="A835" s="265"/>
    </row>
    <row r="836">
      <c r="A836" s="265"/>
    </row>
    <row r="837">
      <c r="A837" s="265"/>
    </row>
    <row r="838">
      <c r="A838" s="265"/>
    </row>
    <row r="839">
      <c r="A839" s="265"/>
    </row>
    <row r="840">
      <c r="A840" s="265"/>
    </row>
    <row r="841">
      <c r="A841" s="265"/>
    </row>
    <row r="842">
      <c r="A842" s="265"/>
    </row>
    <row r="843">
      <c r="A843" s="265"/>
    </row>
    <row r="844">
      <c r="A844" s="265"/>
    </row>
    <row r="845">
      <c r="A845" s="265"/>
    </row>
    <row r="846">
      <c r="A846" s="265"/>
    </row>
    <row r="847">
      <c r="A847" s="265"/>
    </row>
    <row r="848">
      <c r="A848" s="265"/>
    </row>
    <row r="849">
      <c r="A849" s="265"/>
    </row>
    <row r="850">
      <c r="A850" s="265"/>
    </row>
    <row r="851">
      <c r="A851" s="265"/>
    </row>
    <row r="852">
      <c r="A852" s="265"/>
    </row>
    <row r="853">
      <c r="A853" s="265"/>
    </row>
    <row r="854">
      <c r="A854" s="265"/>
    </row>
    <row r="855">
      <c r="A855" s="265"/>
    </row>
    <row r="856">
      <c r="A856" s="265"/>
    </row>
    <row r="857">
      <c r="A857" s="265"/>
    </row>
    <row r="858">
      <c r="A858" s="265"/>
    </row>
    <row r="859">
      <c r="A859" s="265"/>
    </row>
    <row r="860">
      <c r="A860" s="265"/>
    </row>
    <row r="861">
      <c r="A861" s="265"/>
    </row>
    <row r="862">
      <c r="A862" s="265"/>
    </row>
    <row r="863">
      <c r="A863" s="265"/>
    </row>
    <row r="864">
      <c r="A864" s="265"/>
    </row>
    <row r="865">
      <c r="A865" s="265"/>
    </row>
    <row r="866">
      <c r="A866" s="265"/>
    </row>
    <row r="867">
      <c r="A867" s="265"/>
    </row>
    <row r="868">
      <c r="A868" s="265"/>
    </row>
    <row r="869">
      <c r="A869" s="265"/>
    </row>
    <row r="870">
      <c r="A870" s="265"/>
    </row>
    <row r="871">
      <c r="A871" s="265"/>
    </row>
    <row r="872">
      <c r="A872" s="265"/>
    </row>
    <row r="873">
      <c r="A873" s="265"/>
    </row>
    <row r="874">
      <c r="A874" s="265"/>
    </row>
    <row r="875">
      <c r="A875" s="265"/>
    </row>
    <row r="876">
      <c r="A876" s="265"/>
    </row>
    <row r="877">
      <c r="A877" s="265"/>
    </row>
    <row r="878">
      <c r="A878" s="265"/>
    </row>
    <row r="879">
      <c r="A879" s="265"/>
    </row>
    <row r="880">
      <c r="A880" s="265"/>
    </row>
    <row r="881">
      <c r="A881" s="265"/>
    </row>
    <row r="882">
      <c r="A882" s="265"/>
    </row>
    <row r="883">
      <c r="A883" s="265"/>
    </row>
    <row r="884">
      <c r="A884" s="265"/>
    </row>
    <row r="885">
      <c r="A885" s="265"/>
    </row>
    <row r="886">
      <c r="A886" s="265"/>
    </row>
    <row r="887">
      <c r="A887" s="265"/>
    </row>
    <row r="888">
      <c r="A888" s="265"/>
    </row>
    <row r="889">
      <c r="A889" s="265"/>
    </row>
    <row r="890">
      <c r="A890" s="265"/>
    </row>
    <row r="891">
      <c r="A891" s="265"/>
    </row>
    <row r="892">
      <c r="A892" s="265"/>
    </row>
    <row r="893">
      <c r="A893" s="265"/>
    </row>
    <row r="894">
      <c r="A894" s="265"/>
    </row>
    <row r="895">
      <c r="A895" s="265"/>
    </row>
    <row r="896">
      <c r="A896" s="265"/>
    </row>
    <row r="897">
      <c r="A897" s="265"/>
    </row>
    <row r="898">
      <c r="A898" s="265"/>
    </row>
    <row r="899">
      <c r="A899" s="265"/>
    </row>
    <row r="900">
      <c r="A900" s="265"/>
    </row>
    <row r="901">
      <c r="A901" s="265"/>
    </row>
    <row r="902">
      <c r="A902" s="265"/>
    </row>
    <row r="903">
      <c r="A903" s="265"/>
    </row>
    <row r="904">
      <c r="A904" s="265"/>
    </row>
    <row r="905">
      <c r="A905" s="265"/>
    </row>
    <row r="906">
      <c r="A906" s="265"/>
    </row>
    <row r="907">
      <c r="A907" s="265"/>
    </row>
    <row r="908">
      <c r="A908" s="265"/>
    </row>
    <row r="909">
      <c r="A909" s="265"/>
    </row>
    <row r="910">
      <c r="A910" s="265"/>
    </row>
    <row r="911">
      <c r="A911" s="265"/>
    </row>
    <row r="912">
      <c r="A912" s="265"/>
    </row>
    <row r="913">
      <c r="A913" s="265"/>
    </row>
    <row r="914">
      <c r="A914" s="265"/>
    </row>
    <row r="915">
      <c r="A915" s="265"/>
    </row>
    <row r="916">
      <c r="A916" s="265"/>
    </row>
    <row r="917">
      <c r="A917" s="265"/>
    </row>
    <row r="918">
      <c r="A918" s="265"/>
    </row>
    <row r="919">
      <c r="A919" s="265"/>
    </row>
    <row r="920">
      <c r="A920" s="265"/>
    </row>
    <row r="921">
      <c r="A921" s="265"/>
    </row>
    <row r="922">
      <c r="A922" s="265"/>
    </row>
    <row r="923">
      <c r="A923" s="265"/>
    </row>
    <row r="924">
      <c r="A924" s="265"/>
    </row>
    <row r="925">
      <c r="A925" s="265"/>
    </row>
    <row r="926">
      <c r="A926" s="265"/>
    </row>
    <row r="927">
      <c r="A927" s="265"/>
    </row>
    <row r="928">
      <c r="A928" s="265"/>
    </row>
    <row r="929">
      <c r="A929" s="265"/>
    </row>
    <row r="930">
      <c r="A930" s="265"/>
    </row>
    <row r="931">
      <c r="A931" s="265"/>
    </row>
    <row r="932">
      <c r="A932" s="265"/>
    </row>
    <row r="933">
      <c r="A933" s="265"/>
    </row>
    <row r="934">
      <c r="A934" s="265"/>
    </row>
    <row r="935">
      <c r="A935" s="265"/>
    </row>
    <row r="936">
      <c r="A936" s="265"/>
    </row>
    <row r="937">
      <c r="A937" s="265"/>
    </row>
    <row r="938">
      <c r="A938" s="265"/>
    </row>
    <row r="939">
      <c r="A939" s="265"/>
    </row>
    <row r="940">
      <c r="A940" s="265"/>
    </row>
    <row r="941">
      <c r="A941" s="265"/>
    </row>
    <row r="942">
      <c r="A942" s="265"/>
    </row>
    <row r="943">
      <c r="A943" s="265"/>
    </row>
    <row r="944">
      <c r="A944" s="265"/>
    </row>
    <row r="945">
      <c r="A945" s="265"/>
    </row>
    <row r="946">
      <c r="A946" s="265"/>
    </row>
    <row r="947">
      <c r="A947" s="265"/>
    </row>
    <row r="948">
      <c r="A948" s="265"/>
    </row>
    <row r="949">
      <c r="A949" s="265"/>
    </row>
    <row r="950">
      <c r="A950" s="265"/>
    </row>
    <row r="951">
      <c r="A951" s="265"/>
    </row>
    <row r="952">
      <c r="A952" s="265"/>
    </row>
    <row r="953">
      <c r="A953" s="265"/>
    </row>
    <row r="954">
      <c r="A954" s="265"/>
    </row>
    <row r="955">
      <c r="A955" s="265"/>
    </row>
    <row r="956">
      <c r="A956" s="265"/>
    </row>
    <row r="957">
      <c r="A957" s="265"/>
    </row>
    <row r="958">
      <c r="A958" s="265"/>
    </row>
    <row r="959">
      <c r="A959" s="265"/>
    </row>
    <row r="960">
      <c r="A960" s="265"/>
    </row>
    <row r="961">
      <c r="A961" s="265"/>
    </row>
    <row r="962">
      <c r="A962" s="265"/>
    </row>
    <row r="963">
      <c r="A963" s="265"/>
    </row>
    <row r="964">
      <c r="A964" s="265"/>
    </row>
    <row r="965">
      <c r="A965" s="265"/>
    </row>
    <row r="966">
      <c r="A966" s="265"/>
    </row>
    <row r="967">
      <c r="A967" s="265"/>
    </row>
    <row r="968">
      <c r="A968" s="265"/>
    </row>
    <row r="969">
      <c r="A969" s="265"/>
    </row>
    <row r="970">
      <c r="A970" s="265"/>
    </row>
    <row r="971">
      <c r="A971" s="265"/>
    </row>
    <row r="972">
      <c r="A972" s="265"/>
    </row>
    <row r="973">
      <c r="A973" s="265"/>
    </row>
    <row r="974">
      <c r="A974" s="265"/>
    </row>
    <row r="975">
      <c r="A975" s="265"/>
    </row>
    <row r="976">
      <c r="A976" s="265"/>
    </row>
    <row r="977">
      <c r="A977" s="265"/>
    </row>
    <row r="978">
      <c r="A978" s="265"/>
    </row>
    <row r="979">
      <c r="A979" s="265"/>
    </row>
    <row r="980">
      <c r="A980" s="265"/>
    </row>
    <row r="981">
      <c r="A981" s="265"/>
    </row>
    <row r="982">
      <c r="A982" s="265"/>
    </row>
    <row r="983">
      <c r="A983" s="265"/>
    </row>
    <row r="984">
      <c r="A984" s="265"/>
    </row>
    <row r="985">
      <c r="A985" s="265"/>
    </row>
    <row r="986">
      <c r="A986" s="265"/>
    </row>
    <row r="987">
      <c r="A987" s="265"/>
    </row>
    <row r="988">
      <c r="A988" s="265"/>
    </row>
    <row r="989">
      <c r="A989" s="265"/>
    </row>
    <row r="990">
      <c r="A990" s="265"/>
    </row>
    <row r="991">
      <c r="A991" s="265"/>
    </row>
    <row r="992">
      <c r="A992" s="265"/>
    </row>
    <row r="993">
      <c r="A993" s="265"/>
    </row>
    <row r="994">
      <c r="A994" s="265"/>
    </row>
    <row r="995">
      <c r="A995" s="265"/>
    </row>
    <row r="996">
      <c r="A996" s="265"/>
    </row>
    <row r="997">
      <c r="A997" s="265"/>
    </row>
    <row r="998">
      <c r="A998" s="265"/>
    </row>
    <row r="999">
      <c r="A999" s="265"/>
    </row>
    <row r="1000">
      <c r="A1000" s="265"/>
    </row>
  </sheetData>
  <mergeCells count="6">
    <mergeCell ref="G3:H3"/>
    <mergeCell ref="G4:H4"/>
    <mergeCell ref="G5:H5"/>
    <mergeCell ref="G6:H6"/>
    <mergeCell ref="B109:J109"/>
    <mergeCell ref="K109:S109"/>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9.44"/>
    <col customWidth="1" min="2" max="4" width="10.44"/>
    <col customWidth="1" min="5" max="5" width="24.44"/>
    <col customWidth="1" min="6" max="7" width="10.78"/>
    <col customWidth="1" min="8" max="10" width="10.44"/>
    <col customWidth="1" min="11" max="11" width="13.44"/>
    <col customWidth="1" min="12" max="19" width="10.44"/>
    <col customWidth="1" min="20" max="20" width="19.44"/>
    <col customWidth="1" min="21" max="26" width="10.44"/>
  </cols>
  <sheetData>
    <row r="1">
      <c r="A1" s="474" t="s">
        <v>278</v>
      </c>
      <c r="B1" s="475"/>
      <c r="C1" s="475"/>
      <c r="D1" s="475"/>
      <c r="E1" s="476"/>
      <c r="F1" s="477"/>
      <c r="G1" s="478"/>
    </row>
    <row r="2">
      <c r="A2" s="479" t="s">
        <v>279</v>
      </c>
      <c r="B2" s="476"/>
      <c r="C2" s="476"/>
      <c r="D2" s="476"/>
      <c r="E2" s="476"/>
      <c r="F2" s="477"/>
      <c r="G2" s="478"/>
    </row>
    <row r="3">
      <c r="A3" s="480" t="s">
        <v>280</v>
      </c>
      <c r="B3" s="481"/>
      <c r="C3" s="481"/>
      <c r="D3" s="481"/>
      <c r="E3" s="481"/>
      <c r="F3" s="478"/>
      <c r="G3" s="478"/>
    </row>
    <row r="4">
      <c r="A4" s="480" t="s">
        <v>281</v>
      </c>
      <c r="B4" s="481"/>
      <c r="C4" s="481"/>
      <c r="D4" s="481" t="s">
        <v>282</v>
      </c>
      <c r="E4" s="481"/>
      <c r="F4" s="478"/>
      <c r="G4" s="478"/>
    </row>
    <row r="5">
      <c r="A5" s="480" t="s">
        <v>283</v>
      </c>
      <c r="B5" s="481"/>
      <c r="C5" s="481"/>
      <c r="D5" s="481"/>
      <c r="E5" s="481"/>
      <c r="F5" s="478"/>
      <c r="G5" s="478"/>
    </row>
    <row r="6">
      <c r="A6" s="480" t="s">
        <v>284</v>
      </c>
      <c r="B6" s="481"/>
      <c r="C6" s="481"/>
      <c r="D6" s="481"/>
      <c r="E6" s="481"/>
      <c r="F6" s="478"/>
      <c r="G6" s="478"/>
    </row>
    <row r="7">
      <c r="A7" s="480" t="s">
        <v>285</v>
      </c>
      <c r="B7" s="481"/>
      <c r="C7" s="481"/>
      <c r="D7" s="481"/>
      <c r="E7" s="481"/>
      <c r="F7" s="478"/>
      <c r="G7" s="478"/>
    </row>
    <row r="8" ht="64.5" customHeight="1">
      <c r="A8" s="481" t="s">
        <v>286</v>
      </c>
      <c r="B8" s="481"/>
      <c r="C8" s="481"/>
      <c r="D8" s="481"/>
      <c r="E8" s="481"/>
      <c r="F8" s="478"/>
      <c r="G8" s="478"/>
    </row>
    <row r="9" ht="109.5" customHeight="1">
      <c r="A9" s="481" t="s">
        <v>287</v>
      </c>
      <c r="B9" s="481"/>
      <c r="C9" s="481"/>
      <c r="D9" s="481"/>
      <c r="E9" s="481"/>
      <c r="F9" s="478"/>
      <c r="G9" s="478"/>
    </row>
    <row r="10">
      <c r="A10" s="481" t="s">
        <v>288</v>
      </c>
      <c r="B10" s="481"/>
      <c r="C10" s="481"/>
      <c r="D10" s="481"/>
      <c r="E10" s="481"/>
      <c r="F10" s="478"/>
      <c r="G10" s="478"/>
    </row>
    <row r="11">
      <c r="A11" s="481"/>
      <c r="B11" s="481"/>
      <c r="C11" s="481"/>
      <c r="D11" s="481"/>
      <c r="E11" s="481"/>
      <c r="F11" s="478"/>
      <c r="G11" s="478"/>
    </row>
    <row r="12">
      <c r="A12" s="476"/>
      <c r="B12" s="482" t="s">
        <v>24</v>
      </c>
      <c r="C12" s="482" t="s">
        <v>25</v>
      </c>
      <c r="D12" s="482" t="s">
        <v>26</v>
      </c>
      <c r="E12" s="481"/>
      <c r="F12" s="478"/>
      <c r="G12" s="478"/>
    </row>
    <row r="13">
      <c r="A13" s="483" t="s">
        <v>289</v>
      </c>
      <c r="B13" s="484">
        <v>50.0</v>
      </c>
      <c r="C13" s="484">
        <v>300.0</v>
      </c>
      <c r="D13" s="484">
        <v>600.0</v>
      </c>
      <c r="E13" s="481" t="s">
        <v>290</v>
      </c>
      <c r="F13" s="478" t="s">
        <v>291</v>
      </c>
      <c r="G13" s="478" t="s">
        <v>292</v>
      </c>
    </row>
    <row r="14">
      <c r="A14" s="483" t="s">
        <v>293</v>
      </c>
      <c r="B14" s="485">
        <v>0.7</v>
      </c>
      <c r="C14" s="485">
        <v>0.5</v>
      </c>
      <c r="D14" s="485">
        <v>0.3</v>
      </c>
      <c r="E14" s="481"/>
      <c r="F14" s="478" t="s">
        <v>294</v>
      </c>
      <c r="G14" s="478"/>
    </row>
    <row r="15">
      <c r="A15" s="483" t="s">
        <v>295</v>
      </c>
      <c r="B15" s="485">
        <v>0.85</v>
      </c>
      <c r="C15" s="485">
        <v>0.8</v>
      </c>
      <c r="D15" s="485">
        <v>0.75</v>
      </c>
      <c r="E15" s="481"/>
      <c r="F15" s="478" t="s">
        <v>296</v>
      </c>
      <c r="G15" s="478"/>
    </row>
    <row r="16">
      <c r="A16" s="483" t="s">
        <v>297</v>
      </c>
      <c r="B16" s="486">
        <f t="shared" ref="B16:D16" si="1">B13/B15</f>
        <v>58.82352941</v>
      </c>
      <c r="C16" s="486">
        <f t="shared" si="1"/>
        <v>375</v>
      </c>
      <c r="D16" s="486">
        <f t="shared" si="1"/>
        <v>800</v>
      </c>
      <c r="E16" s="481" t="s">
        <v>298</v>
      </c>
      <c r="F16" s="478"/>
      <c r="G16" s="478"/>
    </row>
    <row r="17">
      <c r="A17" s="483" t="s">
        <v>299</v>
      </c>
      <c r="B17" s="486">
        <f t="shared" ref="B17:D17" si="2">B16*B14</f>
        <v>41.17647059</v>
      </c>
      <c r="C17" s="486">
        <f t="shared" si="2"/>
        <v>187.5</v>
      </c>
      <c r="D17" s="486">
        <f t="shared" si="2"/>
        <v>240</v>
      </c>
      <c r="E17" s="481" t="s">
        <v>298</v>
      </c>
      <c r="F17" s="478"/>
      <c r="G17" s="478"/>
    </row>
    <row r="18">
      <c r="A18" s="483" t="s">
        <v>300</v>
      </c>
      <c r="B18" s="485">
        <v>0.9</v>
      </c>
      <c r="C18" s="485">
        <v>0.8</v>
      </c>
      <c r="D18" s="485">
        <v>0.5</v>
      </c>
      <c r="E18" s="481"/>
      <c r="F18" s="478" t="s">
        <v>124</v>
      </c>
      <c r="G18" s="478"/>
    </row>
    <row r="19">
      <c r="A19" s="483" t="s">
        <v>301</v>
      </c>
      <c r="B19" s="485">
        <v>0.8</v>
      </c>
      <c r="C19" s="485">
        <v>0.85</v>
      </c>
      <c r="D19" s="485">
        <v>0.9</v>
      </c>
      <c r="E19" s="481"/>
      <c r="F19" s="478" t="s">
        <v>296</v>
      </c>
      <c r="G19" s="478"/>
    </row>
    <row r="20">
      <c r="A20" s="483" t="s">
        <v>302</v>
      </c>
      <c r="B20" s="487">
        <f t="shared" ref="B20:D20" si="3">B13*B18/B19</f>
        <v>56.25</v>
      </c>
      <c r="C20" s="487">
        <f t="shared" si="3"/>
        <v>282.3529412</v>
      </c>
      <c r="D20" s="487">
        <f t="shared" si="3"/>
        <v>333.3333333</v>
      </c>
      <c r="E20" s="481" t="s">
        <v>298</v>
      </c>
      <c r="F20" s="478"/>
      <c r="G20" s="478"/>
    </row>
    <row r="21">
      <c r="A21" s="483" t="s">
        <v>303</v>
      </c>
      <c r="B21" s="487">
        <f t="shared" ref="B21:D21" si="4">B13*B14*B18/B19</f>
        <v>39.375</v>
      </c>
      <c r="C21" s="487">
        <f t="shared" si="4"/>
        <v>141.1764706</v>
      </c>
      <c r="D21" s="487">
        <f t="shared" si="4"/>
        <v>100</v>
      </c>
      <c r="E21" s="481" t="s">
        <v>298</v>
      </c>
      <c r="F21" s="478"/>
      <c r="G21" s="478"/>
    </row>
    <row r="22">
      <c r="A22" s="483" t="s">
        <v>304</v>
      </c>
      <c r="B22" s="487">
        <f t="shared" ref="B22:D22" si="5">B16-B20</f>
        <v>2.573529412</v>
      </c>
      <c r="C22" s="487">
        <f t="shared" si="5"/>
        <v>92.64705882</v>
      </c>
      <c r="D22" s="487">
        <f t="shared" si="5"/>
        <v>466.6666667</v>
      </c>
      <c r="E22" s="481" t="s">
        <v>298</v>
      </c>
      <c r="F22" s="478"/>
      <c r="G22" s="478"/>
    </row>
    <row r="23">
      <c r="A23" s="483" t="s">
        <v>305</v>
      </c>
      <c r="B23" s="487">
        <f t="shared" ref="B23:D23" si="6">B17-B21</f>
        <v>1.801470588</v>
      </c>
      <c r="C23" s="487">
        <f t="shared" si="6"/>
        <v>46.32352941</v>
      </c>
      <c r="D23" s="487">
        <f t="shared" si="6"/>
        <v>140</v>
      </c>
      <c r="E23" s="481" t="s">
        <v>298</v>
      </c>
      <c r="F23" s="478"/>
      <c r="G23" s="478"/>
    </row>
    <row r="24">
      <c r="A24" s="481"/>
      <c r="B24" s="481"/>
      <c r="C24" s="481"/>
      <c r="D24" s="481"/>
      <c r="E24" s="481"/>
      <c r="F24" s="478"/>
      <c r="G24" s="478"/>
    </row>
    <row r="25">
      <c r="A25" s="488" t="s">
        <v>306</v>
      </c>
      <c r="B25" s="482" t="s">
        <v>24</v>
      </c>
      <c r="C25" s="482" t="s">
        <v>25</v>
      </c>
      <c r="D25" s="482" t="s">
        <v>26</v>
      </c>
      <c r="E25" s="481"/>
      <c r="F25" s="478"/>
      <c r="G25" s="478"/>
    </row>
    <row r="26">
      <c r="A26" s="483" t="s">
        <v>307</v>
      </c>
      <c r="B26" s="489">
        <f>B22*gasPriceP/100</f>
        <v>0.1778137255</v>
      </c>
      <c r="C26" s="489">
        <f>C22*gasPriceP/100</f>
        <v>6.401294118</v>
      </c>
      <c r="D26" s="489">
        <f>D22*gasPriceP/100</f>
        <v>32.24355556</v>
      </c>
      <c r="E26" s="481" t="s">
        <v>117</v>
      </c>
      <c r="F26" s="478"/>
      <c r="G26" s="478"/>
    </row>
    <row r="27">
      <c r="A27" s="483" t="s">
        <v>308</v>
      </c>
      <c r="B27" s="489">
        <f>B23*gasPriceP/100</f>
        <v>0.1244696078</v>
      </c>
      <c r="C27" s="489">
        <f>C23*gasPriceP/100</f>
        <v>3.200647059</v>
      </c>
      <c r="D27" s="489">
        <f>D23*gasPriceP/100</f>
        <v>9.673066667</v>
      </c>
      <c r="E27" s="481" t="s">
        <v>117</v>
      </c>
      <c r="F27" s="478"/>
      <c r="G27" s="478"/>
    </row>
    <row r="28">
      <c r="A28" s="481"/>
      <c r="C28" s="481"/>
      <c r="D28" s="481"/>
      <c r="E28" s="481"/>
      <c r="F28" s="478"/>
      <c r="G28" s="478"/>
    </row>
    <row r="29">
      <c r="A29" s="488" t="s">
        <v>241</v>
      </c>
      <c r="B29" s="482" t="s">
        <v>24</v>
      </c>
      <c r="C29" s="482" t="s">
        <v>25</v>
      </c>
      <c r="D29" s="482" t="s">
        <v>26</v>
      </c>
      <c r="E29" s="481"/>
      <c r="F29" s="478"/>
      <c r="G29" s="478"/>
    </row>
    <row r="30">
      <c r="A30" s="483" t="s">
        <v>309</v>
      </c>
      <c r="B30" s="490">
        <f>C30*0.95</f>
        <v>0.5397955446</v>
      </c>
      <c r="C30" s="490">
        <f>propHomesGasHeating*(1-propGasRegular)</f>
        <v>0.5682058365</v>
      </c>
      <c r="D30" s="490">
        <f>C30*1.05</f>
        <v>0.5966161283</v>
      </c>
      <c r="E30" s="478"/>
      <c r="G30" s="478"/>
    </row>
    <row r="31">
      <c r="A31" s="483" t="s">
        <v>310</v>
      </c>
      <c r="B31" s="491">
        <v>0.2</v>
      </c>
      <c r="C31" s="491">
        <v>0.4</v>
      </c>
      <c r="D31" s="491">
        <v>0.6</v>
      </c>
      <c r="E31" s="235" t="s">
        <v>311</v>
      </c>
      <c r="G31" s="478"/>
    </row>
    <row r="32">
      <c r="A32" s="483" t="s">
        <v>312</v>
      </c>
      <c r="B32" s="491">
        <v>0.05</v>
      </c>
      <c r="C32" s="491">
        <v>0.1</v>
      </c>
      <c r="D32" s="491">
        <v>0.2</v>
      </c>
      <c r="E32" s="478" t="s">
        <v>124</v>
      </c>
      <c r="G32" s="478"/>
    </row>
    <row r="33">
      <c r="A33" s="483" t="s">
        <v>313</v>
      </c>
      <c r="B33" s="490">
        <f t="shared" ref="B33:D33" si="7">B30*B31</f>
        <v>0.1079591089</v>
      </c>
      <c r="C33" s="490">
        <f t="shared" si="7"/>
        <v>0.2272823346</v>
      </c>
      <c r="D33" s="490">
        <f t="shared" si="7"/>
        <v>0.357969677</v>
      </c>
      <c r="E33" s="478"/>
      <c r="G33" s="478"/>
    </row>
    <row r="34">
      <c r="A34" s="483" t="s">
        <v>314</v>
      </c>
      <c r="B34" s="490">
        <f t="shared" ref="B34:D34" si="8">B33*B32</f>
        <v>0.005397955446</v>
      </c>
      <c r="C34" s="490">
        <f t="shared" si="8"/>
        <v>0.02272823346</v>
      </c>
      <c r="D34" s="490">
        <f t="shared" si="8"/>
        <v>0.07159393539</v>
      </c>
      <c r="E34" s="478"/>
      <c r="G34" s="478"/>
    </row>
    <row r="35">
      <c r="A35" s="481"/>
      <c r="B35" s="481"/>
      <c r="C35" s="481"/>
      <c r="D35" s="481"/>
      <c r="E35" s="481"/>
      <c r="F35" s="478"/>
      <c r="G35" s="478"/>
    </row>
    <row r="37">
      <c r="A37" s="109" t="s">
        <v>3</v>
      </c>
      <c r="B37" s="308" t="s">
        <v>10</v>
      </c>
      <c r="C37" s="178"/>
      <c r="D37" s="178"/>
      <c r="E37" s="178"/>
      <c r="F37" s="178"/>
      <c r="G37" s="178"/>
      <c r="H37" s="178"/>
      <c r="I37" s="178"/>
      <c r="J37" s="179"/>
      <c r="K37" s="308" t="s">
        <v>137</v>
      </c>
      <c r="L37" s="178"/>
      <c r="M37" s="178"/>
      <c r="N37" s="178"/>
      <c r="O37" s="178"/>
      <c r="P37" s="178"/>
      <c r="Q37" s="178"/>
      <c r="R37" s="178"/>
      <c r="S37" s="492"/>
      <c r="T37" s="493" t="s">
        <v>138</v>
      </c>
      <c r="U37" s="185"/>
      <c r="V37" s="185"/>
      <c r="W37" s="185"/>
      <c r="X37" s="185"/>
      <c r="Y37" s="185"/>
      <c r="Z37" s="185"/>
    </row>
    <row r="38">
      <c r="A38" s="261"/>
      <c r="B38" s="40" t="s">
        <v>21</v>
      </c>
      <c r="C38" s="41"/>
      <c r="D38" s="42"/>
      <c r="E38" s="40" t="s">
        <v>22</v>
      </c>
      <c r="F38" s="41"/>
      <c r="G38" s="42"/>
      <c r="H38" s="43" t="s">
        <v>23</v>
      </c>
      <c r="I38" s="44"/>
      <c r="J38" s="45"/>
      <c r="K38" s="40" t="s">
        <v>21</v>
      </c>
      <c r="L38" s="41"/>
      <c r="M38" s="42"/>
      <c r="N38" s="40" t="s">
        <v>22</v>
      </c>
      <c r="O38" s="41"/>
      <c r="P38" s="42"/>
      <c r="Q38" s="43" t="s">
        <v>23</v>
      </c>
      <c r="R38" s="44"/>
      <c r="S38" s="45"/>
      <c r="T38" s="321"/>
    </row>
    <row r="39">
      <c r="A39" s="113"/>
      <c r="B39" s="58" t="s">
        <v>24</v>
      </c>
      <c r="C39" s="54" t="s">
        <v>25</v>
      </c>
      <c r="D39" s="55" t="s">
        <v>26</v>
      </c>
      <c r="E39" s="58" t="s">
        <v>24</v>
      </c>
      <c r="F39" s="54" t="s">
        <v>25</v>
      </c>
      <c r="G39" s="55" t="s">
        <v>26</v>
      </c>
      <c r="H39" s="58" t="s">
        <v>24</v>
      </c>
      <c r="I39" s="54" t="s">
        <v>25</v>
      </c>
      <c r="J39" s="55" t="s">
        <v>26</v>
      </c>
      <c r="K39" s="58" t="s">
        <v>24</v>
      </c>
      <c r="L39" s="54" t="s">
        <v>25</v>
      </c>
      <c r="M39" s="55" t="s">
        <v>26</v>
      </c>
      <c r="N39" s="58" t="s">
        <v>24</v>
      </c>
      <c r="O39" s="54" t="s">
        <v>25</v>
      </c>
      <c r="P39" s="55" t="s">
        <v>26</v>
      </c>
      <c r="Q39" s="58" t="s">
        <v>24</v>
      </c>
      <c r="R39" s="54" t="s">
        <v>25</v>
      </c>
      <c r="S39" s="55" t="s">
        <v>26</v>
      </c>
      <c r="T39" s="494"/>
    </row>
    <row r="40">
      <c r="A40" s="495" t="s">
        <v>55</v>
      </c>
      <c r="B40" s="201">
        <f t="shared" ref="B40:D40" si="9">B22</f>
        <v>2.573529412</v>
      </c>
      <c r="C40" s="202">
        <f t="shared" si="9"/>
        <v>92.64705882</v>
      </c>
      <c r="D40" s="203">
        <f t="shared" si="9"/>
        <v>466.6666667</v>
      </c>
      <c r="E40" s="142">
        <v>0.0</v>
      </c>
      <c r="F40" s="143">
        <v>0.0</v>
      </c>
      <c r="G40" s="144">
        <v>0.0</v>
      </c>
      <c r="H40" s="142">
        <v>0.0</v>
      </c>
      <c r="I40" s="143">
        <v>0.0</v>
      </c>
      <c r="J40" s="144">
        <v>0.0</v>
      </c>
      <c r="K40" s="201">
        <f>B33*numberDwellingsUK/1000</f>
        <v>3039.461212</v>
      </c>
      <c r="L40" s="202">
        <f>C33*numberDwellingsUK/1000</f>
        <v>6398.86571</v>
      </c>
      <c r="M40" s="203">
        <f>D33*numberDwellingsUK/1000</f>
        <v>10078.21349</v>
      </c>
      <c r="N40" s="142">
        <v>0.0</v>
      </c>
      <c r="O40" s="143">
        <v>0.0</v>
      </c>
      <c r="P40" s="144">
        <v>0.0</v>
      </c>
      <c r="Q40" s="142">
        <v>0.0</v>
      </c>
      <c r="R40" s="143">
        <v>0.0</v>
      </c>
      <c r="S40" s="144">
        <v>0.0</v>
      </c>
      <c r="T40" s="149" t="s">
        <v>33</v>
      </c>
    </row>
    <row r="41">
      <c r="A41" s="496" t="s">
        <v>315</v>
      </c>
      <c r="B41" s="497">
        <f t="shared" ref="B41:D41" si="10">B23</f>
        <v>1.801470588</v>
      </c>
      <c r="C41" s="498">
        <f t="shared" si="10"/>
        <v>46.32352941</v>
      </c>
      <c r="D41" s="499">
        <f t="shared" si="10"/>
        <v>140</v>
      </c>
      <c r="E41" s="473">
        <v>0.0</v>
      </c>
      <c r="F41" s="186">
        <v>0.0</v>
      </c>
      <c r="G41" s="216">
        <v>0.0</v>
      </c>
      <c r="H41" s="473">
        <v>0.0</v>
      </c>
      <c r="I41" s="186">
        <v>0.0</v>
      </c>
      <c r="J41" s="216">
        <v>0.0</v>
      </c>
      <c r="K41" s="470">
        <f>B34*numberDwellingsUK/1000</f>
        <v>151.9730606</v>
      </c>
      <c r="L41" s="471">
        <f>C34*numberDwellingsUK/1000</f>
        <v>639.886571</v>
      </c>
      <c r="M41" s="472">
        <f>D34*numberDwellingsUK/1000</f>
        <v>2015.642699</v>
      </c>
      <c r="N41" s="473">
        <v>0.0</v>
      </c>
      <c r="O41" s="186">
        <v>0.0</v>
      </c>
      <c r="P41" s="216">
        <v>0.0</v>
      </c>
      <c r="Q41" s="473">
        <v>0.0</v>
      </c>
      <c r="R41" s="186">
        <v>0.0</v>
      </c>
      <c r="S41" s="216">
        <v>0.0</v>
      </c>
      <c r="T41" s="500" t="s">
        <v>33</v>
      </c>
    </row>
  </sheetData>
  <mergeCells count="2">
    <mergeCell ref="B37:J37"/>
    <mergeCell ref="K37:S3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73.0"/>
    <col customWidth="1" min="2" max="10" width="10.44"/>
    <col customWidth="1" min="11" max="11" width="16.0"/>
    <col customWidth="1" min="12" max="19" width="10.44"/>
    <col customWidth="1" min="20" max="20" width="13.33"/>
    <col customWidth="1" min="21" max="26" width="10.44"/>
  </cols>
  <sheetData>
    <row r="1">
      <c r="A1" s="109" t="s">
        <v>316</v>
      </c>
      <c r="B1" s="18"/>
      <c r="C1" s="18"/>
      <c r="D1" s="18"/>
    </row>
    <row r="2">
      <c r="A2" s="68" t="s">
        <v>317</v>
      </c>
      <c r="B2" s="18"/>
      <c r="C2" s="18"/>
      <c r="D2" s="18"/>
    </row>
    <row r="3">
      <c r="A3" s="234" t="s">
        <v>318</v>
      </c>
    </row>
    <row r="4">
      <c r="A4" s="234" t="s">
        <v>319</v>
      </c>
    </row>
    <row r="5">
      <c r="A5" s="234" t="s">
        <v>320</v>
      </c>
    </row>
    <row r="6">
      <c r="A6" s="234" t="s">
        <v>321</v>
      </c>
    </row>
    <row r="7">
      <c r="A7" s="234" t="s">
        <v>322</v>
      </c>
    </row>
    <row r="8" ht="131.25" customHeight="1">
      <c r="A8" s="501" t="s">
        <v>323</v>
      </c>
    </row>
    <row r="9">
      <c r="A9" s="234" t="s">
        <v>324</v>
      </c>
    </row>
    <row r="10">
      <c r="A10" s="234" t="s">
        <v>325</v>
      </c>
    </row>
    <row r="11" ht="114.0" customHeight="1">
      <c r="A11" s="501" t="s">
        <v>326</v>
      </c>
    </row>
    <row r="12">
      <c r="A12" s="234"/>
    </row>
    <row r="13">
      <c r="A13" s="234"/>
      <c r="B13" s="502" t="s">
        <v>327</v>
      </c>
      <c r="C13" s="14"/>
      <c r="D13" s="15"/>
      <c r="E13" s="503" t="s">
        <v>328</v>
      </c>
      <c r="F13" s="14"/>
      <c r="G13" s="15"/>
      <c r="I13" s="504" t="s">
        <v>329</v>
      </c>
      <c r="J13" s="505"/>
      <c r="K13" s="505"/>
      <c r="L13" s="505"/>
    </row>
    <row r="14">
      <c r="A14" s="506"/>
      <c r="B14" s="238" t="s">
        <v>24</v>
      </c>
      <c r="C14" s="238" t="s">
        <v>25</v>
      </c>
      <c r="D14" s="238" t="s">
        <v>26</v>
      </c>
      <c r="E14" s="507" t="s">
        <v>24</v>
      </c>
      <c r="F14" s="507" t="s">
        <v>25</v>
      </c>
      <c r="G14" s="507" t="s">
        <v>26</v>
      </c>
    </row>
    <row r="15">
      <c r="A15" s="241" t="s">
        <v>330</v>
      </c>
      <c r="B15" s="508">
        <v>65.0</v>
      </c>
      <c r="C15" s="508">
        <v>70.0</v>
      </c>
      <c r="D15" s="508">
        <v>75.0</v>
      </c>
      <c r="E15" s="346">
        <f t="shared" ref="E15:G15" si="1">B15</f>
        <v>65</v>
      </c>
      <c r="F15" s="346">
        <f t="shared" si="1"/>
        <v>70</v>
      </c>
      <c r="G15" s="346">
        <f t="shared" si="1"/>
        <v>75</v>
      </c>
      <c r="H15" s="217" t="s">
        <v>331</v>
      </c>
      <c r="I15" s="217" t="s">
        <v>124</v>
      </c>
    </row>
    <row r="16">
      <c r="A16" s="241" t="s">
        <v>332</v>
      </c>
      <c r="B16" s="508">
        <v>60.0</v>
      </c>
      <c r="C16" s="508">
        <v>60.0</v>
      </c>
      <c r="D16" s="508">
        <v>60.0</v>
      </c>
      <c r="E16" s="346">
        <v>51.5</v>
      </c>
      <c r="F16" s="346">
        <v>51.5</v>
      </c>
      <c r="G16" s="346">
        <v>51.5</v>
      </c>
      <c r="H16" s="217" t="s">
        <v>331</v>
      </c>
      <c r="I16" s="217" t="s">
        <v>333</v>
      </c>
    </row>
    <row r="17">
      <c r="A17" s="241" t="s">
        <v>334</v>
      </c>
      <c r="B17" s="508">
        <v>18.0</v>
      </c>
      <c r="C17" s="508">
        <v>18.0</v>
      </c>
      <c r="D17" s="508">
        <v>18.0</v>
      </c>
      <c r="E17" s="346">
        <f t="shared" ref="E17:G17" si="2">B17</f>
        <v>18</v>
      </c>
      <c r="F17" s="346">
        <f t="shared" si="2"/>
        <v>18</v>
      </c>
      <c r="G17" s="346">
        <f t="shared" si="2"/>
        <v>18</v>
      </c>
      <c r="H17" s="217" t="s">
        <v>331</v>
      </c>
    </row>
    <row r="18">
      <c r="A18" s="241" t="s">
        <v>335</v>
      </c>
      <c r="B18" s="508">
        <v>700.0</v>
      </c>
      <c r="C18" s="508">
        <v>1000.0</v>
      </c>
      <c r="D18" s="508">
        <v>1500.0</v>
      </c>
      <c r="E18" s="346">
        <f t="shared" ref="E18:G18" si="3">B18</f>
        <v>700</v>
      </c>
      <c r="F18" s="346">
        <f t="shared" si="3"/>
        <v>1000</v>
      </c>
      <c r="G18" s="346">
        <f t="shared" si="3"/>
        <v>1500</v>
      </c>
      <c r="H18" s="217" t="s">
        <v>116</v>
      </c>
      <c r="I18" s="217" t="s">
        <v>336</v>
      </c>
    </row>
    <row r="19">
      <c r="A19" s="241" t="s">
        <v>337</v>
      </c>
      <c r="B19" s="508">
        <v>70.0</v>
      </c>
      <c r="C19" s="508">
        <v>70.0</v>
      </c>
      <c r="D19" s="508">
        <v>70.0</v>
      </c>
      <c r="E19" s="346">
        <f t="shared" ref="E19:G19" si="4">B19</f>
        <v>70</v>
      </c>
      <c r="F19" s="346">
        <f t="shared" si="4"/>
        <v>70</v>
      </c>
      <c r="G19" s="346">
        <f t="shared" si="4"/>
        <v>70</v>
      </c>
      <c r="H19" s="217" t="s">
        <v>331</v>
      </c>
    </row>
    <row r="20">
      <c r="A20" s="241" t="s">
        <v>338</v>
      </c>
      <c r="B20" s="86">
        <f t="shared" ref="B20:G20" si="5">B$18*(B15-B$17)/(B$19-B$17)</f>
        <v>632.6923077</v>
      </c>
      <c r="C20" s="86">
        <f t="shared" si="5"/>
        <v>1000</v>
      </c>
      <c r="D20" s="86">
        <f t="shared" si="5"/>
        <v>1644.230769</v>
      </c>
      <c r="E20" s="509">
        <f t="shared" si="5"/>
        <v>632.6923077</v>
      </c>
      <c r="F20" s="509">
        <f t="shared" si="5"/>
        <v>1000</v>
      </c>
      <c r="G20" s="509">
        <f t="shared" si="5"/>
        <v>1644.230769</v>
      </c>
      <c r="H20" s="217" t="s">
        <v>116</v>
      </c>
      <c r="I20" s="217" t="s">
        <v>339</v>
      </c>
    </row>
    <row r="21">
      <c r="A21" s="241" t="s">
        <v>340</v>
      </c>
      <c r="B21" s="86">
        <f t="shared" ref="B21:G21" si="6">B$18*(B16-B$17)/(B$19-B$17)</f>
        <v>565.3846154</v>
      </c>
      <c r="C21" s="86">
        <f t="shared" si="6"/>
        <v>807.6923077</v>
      </c>
      <c r="D21" s="86">
        <f t="shared" si="6"/>
        <v>1211.538462</v>
      </c>
      <c r="E21" s="509">
        <f t="shared" si="6"/>
        <v>450.9615385</v>
      </c>
      <c r="F21" s="509">
        <f t="shared" si="6"/>
        <v>644.2307692</v>
      </c>
      <c r="G21" s="509">
        <f t="shared" si="6"/>
        <v>966.3461538</v>
      </c>
      <c r="H21" s="217" t="s">
        <v>116</v>
      </c>
    </row>
    <row r="22">
      <c r="A22" s="241" t="s">
        <v>341</v>
      </c>
      <c r="B22" s="86">
        <f t="shared" ref="B22:G22" si="7">B20-B21</f>
        <v>67.30769231</v>
      </c>
      <c r="C22" s="86">
        <f t="shared" si="7"/>
        <v>192.3076923</v>
      </c>
      <c r="D22" s="86">
        <f t="shared" si="7"/>
        <v>432.6923077</v>
      </c>
      <c r="E22" s="509">
        <f t="shared" si="7"/>
        <v>181.7307692</v>
      </c>
      <c r="F22" s="509">
        <f t="shared" si="7"/>
        <v>355.7692308</v>
      </c>
      <c r="G22" s="509">
        <f t="shared" si="7"/>
        <v>677.8846154</v>
      </c>
      <c r="H22" s="217" t="s">
        <v>116</v>
      </c>
    </row>
    <row r="23">
      <c r="A23" s="241" t="s">
        <v>342</v>
      </c>
      <c r="B23" s="459">
        <v>0.74</v>
      </c>
      <c r="C23" s="459">
        <v>0.7</v>
      </c>
      <c r="D23" s="459">
        <v>0.64</v>
      </c>
      <c r="E23" s="300">
        <f t="shared" ref="E23:G23" si="8">B23</f>
        <v>0.74</v>
      </c>
      <c r="F23" s="300">
        <f t="shared" si="8"/>
        <v>0.7</v>
      </c>
      <c r="G23" s="300">
        <f t="shared" si="8"/>
        <v>0.64</v>
      </c>
      <c r="I23" s="217" t="s">
        <v>343</v>
      </c>
      <c r="J23" s="217" t="s">
        <v>344</v>
      </c>
    </row>
    <row r="24">
      <c r="A24" s="241" t="s">
        <v>345</v>
      </c>
      <c r="B24" s="459">
        <v>0.85</v>
      </c>
      <c r="C24" s="459">
        <v>0.8</v>
      </c>
      <c r="D24" s="459">
        <v>0.75</v>
      </c>
      <c r="E24" s="300">
        <f t="shared" ref="E24:G24" si="9">B24</f>
        <v>0.85</v>
      </c>
      <c r="F24" s="300">
        <f t="shared" si="9"/>
        <v>0.8</v>
      </c>
      <c r="G24" s="300">
        <f t="shared" si="9"/>
        <v>0.75</v>
      </c>
      <c r="I24" s="217" t="s">
        <v>343</v>
      </c>
      <c r="J24" s="217" t="s">
        <v>346</v>
      </c>
    </row>
    <row r="25">
      <c r="A25" s="241" t="s">
        <v>347</v>
      </c>
      <c r="B25" s="459">
        <f>'Turn off pre-heat'!B18</f>
        <v>0.9</v>
      </c>
      <c r="C25" s="459">
        <f>'Turn off pre-heat'!C18</f>
        <v>0.8</v>
      </c>
      <c r="D25" s="459">
        <f>'Turn off pre-heat'!D18</f>
        <v>0.5</v>
      </c>
      <c r="E25" s="300">
        <f t="shared" ref="E25:G25" si="10">B25</f>
        <v>0.9</v>
      </c>
      <c r="F25" s="300">
        <f t="shared" si="10"/>
        <v>0.8</v>
      </c>
      <c r="G25" s="300">
        <f t="shared" si="10"/>
        <v>0.5</v>
      </c>
      <c r="I25" s="217" t="s">
        <v>348</v>
      </c>
    </row>
    <row r="26">
      <c r="A26" s="241" t="s">
        <v>349</v>
      </c>
      <c r="B26" s="86">
        <f t="shared" ref="B26:G26" si="11">B22/B23</f>
        <v>90.95634096</v>
      </c>
      <c r="C26" s="86">
        <f t="shared" si="11"/>
        <v>274.7252747</v>
      </c>
      <c r="D26" s="86">
        <f t="shared" si="11"/>
        <v>676.0817308</v>
      </c>
      <c r="E26" s="509">
        <f t="shared" si="11"/>
        <v>245.5821206</v>
      </c>
      <c r="F26" s="509">
        <f t="shared" si="11"/>
        <v>508.2417582</v>
      </c>
      <c r="G26" s="509">
        <f t="shared" si="11"/>
        <v>1059.194712</v>
      </c>
      <c r="H26" s="217" t="s">
        <v>116</v>
      </c>
    </row>
    <row r="27">
      <c r="A27" s="241" t="s">
        <v>350</v>
      </c>
      <c r="B27" s="86">
        <f t="shared" ref="B27:G27" si="12">B22*(1-B25)/B24</f>
        <v>7.918552036</v>
      </c>
      <c r="C27" s="86">
        <f t="shared" si="12"/>
        <v>48.07692308</v>
      </c>
      <c r="D27" s="86">
        <f t="shared" si="12"/>
        <v>288.4615385</v>
      </c>
      <c r="E27" s="509">
        <f t="shared" si="12"/>
        <v>21.3800905</v>
      </c>
      <c r="F27" s="509">
        <f t="shared" si="12"/>
        <v>88.94230769</v>
      </c>
      <c r="G27" s="509">
        <f t="shared" si="12"/>
        <v>451.9230769</v>
      </c>
      <c r="H27" s="217" t="s">
        <v>116</v>
      </c>
    </row>
    <row r="28">
      <c r="A28" s="241" t="s">
        <v>351</v>
      </c>
      <c r="B28" s="86">
        <f t="shared" ref="B28:G28" si="13">B26-B27</f>
        <v>83.03778892</v>
      </c>
      <c r="C28" s="86">
        <f t="shared" si="13"/>
        <v>226.6483516</v>
      </c>
      <c r="D28" s="86">
        <f t="shared" si="13"/>
        <v>387.6201923</v>
      </c>
      <c r="E28" s="509">
        <f t="shared" si="13"/>
        <v>224.2020301</v>
      </c>
      <c r="F28" s="509">
        <f t="shared" si="13"/>
        <v>419.2994505</v>
      </c>
      <c r="G28" s="509">
        <f t="shared" si="13"/>
        <v>607.2716346</v>
      </c>
      <c r="H28" s="217" t="s">
        <v>116</v>
      </c>
    </row>
    <row r="29">
      <c r="A29" s="234"/>
      <c r="B29" s="202"/>
      <c r="C29" s="202"/>
      <c r="D29" s="202"/>
      <c r="E29" s="143"/>
      <c r="F29" s="143"/>
      <c r="G29" s="143"/>
    </row>
    <row r="30">
      <c r="A30" s="241" t="s">
        <v>352</v>
      </c>
      <c r="B30" s="459">
        <v>0.72</v>
      </c>
      <c r="C30" s="459">
        <v>0.69</v>
      </c>
      <c r="D30" s="459">
        <v>0.66</v>
      </c>
      <c r="E30" s="300">
        <f t="shared" ref="E30:G30" si="14">B30</f>
        <v>0.72</v>
      </c>
      <c r="F30" s="300">
        <f t="shared" si="14"/>
        <v>0.69</v>
      </c>
      <c r="G30" s="300">
        <f t="shared" si="14"/>
        <v>0.66</v>
      </c>
      <c r="I30" s="217" t="s">
        <v>343</v>
      </c>
      <c r="J30" s="217" t="s">
        <v>344</v>
      </c>
    </row>
    <row r="31">
      <c r="A31" s="241" t="s">
        <v>353</v>
      </c>
      <c r="B31" s="459">
        <v>0.84</v>
      </c>
      <c r="C31" s="459">
        <v>0.81</v>
      </c>
      <c r="D31" s="459">
        <v>0.78</v>
      </c>
      <c r="E31" s="300">
        <f t="shared" ref="E31:G31" si="15">B31</f>
        <v>0.84</v>
      </c>
      <c r="F31" s="300">
        <f t="shared" si="15"/>
        <v>0.81</v>
      </c>
      <c r="G31" s="300">
        <f t="shared" si="15"/>
        <v>0.78</v>
      </c>
      <c r="I31" s="217" t="s">
        <v>343</v>
      </c>
      <c r="J31" s="217" t="s">
        <v>346</v>
      </c>
    </row>
    <row r="32">
      <c r="A32" s="241" t="s">
        <v>354</v>
      </c>
      <c r="B32" s="86">
        <f t="shared" ref="B32:G32" si="16">B22/B30</f>
        <v>93.48290598</v>
      </c>
      <c r="C32" s="86">
        <f t="shared" si="16"/>
        <v>278.7068004</v>
      </c>
      <c r="D32" s="86">
        <f t="shared" si="16"/>
        <v>655.5944056</v>
      </c>
      <c r="E32" s="509">
        <f t="shared" si="16"/>
        <v>252.4038462</v>
      </c>
      <c r="F32" s="509">
        <f t="shared" si="16"/>
        <v>515.6075808</v>
      </c>
      <c r="G32" s="509">
        <f t="shared" si="16"/>
        <v>1027.097902</v>
      </c>
      <c r="H32" s="217" t="s">
        <v>116</v>
      </c>
    </row>
    <row r="33">
      <c r="A33" s="241" t="s">
        <v>355</v>
      </c>
      <c r="B33" s="86">
        <f t="shared" ref="B33:G33" si="17">B22*(1-B25)/B31</f>
        <v>8.012820513</v>
      </c>
      <c r="C33" s="86">
        <f t="shared" si="17"/>
        <v>47.48338082</v>
      </c>
      <c r="D33" s="86">
        <f t="shared" si="17"/>
        <v>277.3668639</v>
      </c>
      <c r="E33" s="509">
        <f t="shared" si="17"/>
        <v>21.63461538</v>
      </c>
      <c r="F33" s="509">
        <f t="shared" si="17"/>
        <v>87.84425451</v>
      </c>
      <c r="G33" s="509">
        <f t="shared" si="17"/>
        <v>434.5414201</v>
      </c>
      <c r="H33" s="217" t="s">
        <v>116</v>
      </c>
    </row>
    <row r="34">
      <c r="A34" s="241" t="s">
        <v>356</v>
      </c>
      <c r="B34" s="86">
        <f t="shared" ref="B34:G34" si="18">B32-B33</f>
        <v>85.47008547</v>
      </c>
      <c r="C34" s="86">
        <f t="shared" si="18"/>
        <v>231.2234196</v>
      </c>
      <c r="D34" s="86">
        <f t="shared" si="18"/>
        <v>378.2275417</v>
      </c>
      <c r="E34" s="509">
        <f t="shared" si="18"/>
        <v>230.7692308</v>
      </c>
      <c r="F34" s="509">
        <f t="shared" si="18"/>
        <v>427.7633263</v>
      </c>
      <c r="G34" s="509">
        <f t="shared" si="18"/>
        <v>592.556482</v>
      </c>
      <c r="H34" s="217" t="s">
        <v>116</v>
      </c>
    </row>
    <row r="35">
      <c r="A35" s="234"/>
      <c r="B35" s="143"/>
      <c r="C35" s="143"/>
      <c r="D35" s="143"/>
      <c r="E35" s="143"/>
      <c r="F35" s="143"/>
      <c r="G35" s="143"/>
    </row>
    <row r="36">
      <c r="A36" s="234"/>
    </row>
    <row r="37">
      <c r="A37" s="68" t="s">
        <v>241</v>
      </c>
      <c r="B37" s="240" t="s">
        <v>24</v>
      </c>
      <c r="C37" s="238" t="s">
        <v>25</v>
      </c>
      <c r="D37" s="238" t="s">
        <v>26</v>
      </c>
    </row>
    <row r="38">
      <c r="A38" s="241" t="s">
        <v>357</v>
      </c>
      <c r="B38" s="459">
        <f>propGasRegular*0.95</f>
        <v>0.304</v>
      </c>
      <c r="C38" s="459">
        <f>propGasRegular</f>
        <v>0.32</v>
      </c>
      <c r="D38" s="459">
        <f>propGasRegular*1.1</f>
        <v>0.352</v>
      </c>
      <c r="F38" s="217" t="s">
        <v>358</v>
      </c>
    </row>
    <row r="39">
      <c r="A39" s="241" t="s">
        <v>359</v>
      </c>
      <c r="B39" s="459">
        <f>78%*0.95</f>
        <v>0.741</v>
      </c>
      <c r="C39" s="459">
        <f>propOilRegular</f>
        <v>0.78</v>
      </c>
      <c r="D39" s="459">
        <f>78%*1.1</f>
        <v>0.858</v>
      </c>
      <c r="F39" s="217" t="s">
        <v>358</v>
      </c>
    </row>
    <row r="40">
      <c r="A40" s="241" t="s">
        <v>360</v>
      </c>
      <c r="B40" s="300">
        <v>0.5</v>
      </c>
      <c r="C40" s="300">
        <v>0.8</v>
      </c>
      <c r="D40" s="300">
        <v>0.95</v>
      </c>
      <c r="F40" s="217" t="s">
        <v>124</v>
      </c>
    </row>
    <row r="41">
      <c r="A41" s="241" t="s">
        <v>361</v>
      </c>
      <c r="B41" s="94">
        <f>B38*B40*propHomesGasHeating</f>
        <v>0.1270107164</v>
      </c>
      <c r="C41" s="94">
        <f>C38*C40*propHomesGasHeating</f>
        <v>0.2139127855</v>
      </c>
      <c r="D41" s="94">
        <f>D38*D40*propHomesGasHeating</f>
        <v>0.279423576</v>
      </c>
    </row>
    <row r="42">
      <c r="A42" s="241" t="s">
        <v>362</v>
      </c>
      <c r="B42" s="94">
        <f>B39*B40*propHomesOilHeating</f>
        <v>0.0198740286</v>
      </c>
      <c r="C42" s="94">
        <f>C39*C40*propHomesOilHeating</f>
        <v>0.03347204817</v>
      </c>
      <c r="D42" s="94">
        <f>D39*D40*propHomesOilHeating</f>
        <v>0.04372286292</v>
      </c>
    </row>
    <row r="43">
      <c r="A43" s="241" t="s">
        <v>128</v>
      </c>
      <c r="B43" s="94">
        <f t="shared" ref="B43:D43" si="19">SUM(B41:B42)</f>
        <v>0.146884745</v>
      </c>
      <c r="C43" s="94">
        <f t="shared" si="19"/>
        <v>0.2473848337</v>
      </c>
      <c r="D43" s="94">
        <f t="shared" si="19"/>
        <v>0.323146439</v>
      </c>
    </row>
    <row r="44">
      <c r="A44" s="234"/>
      <c r="B44" s="447"/>
      <c r="C44" s="447"/>
      <c r="D44" s="447"/>
    </row>
    <row r="45">
      <c r="A45" s="234"/>
    </row>
    <row r="46">
      <c r="A46" s="109" t="s">
        <v>3</v>
      </c>
      <c r="B46" s="308" t="s">
        <v>10</v>
      </c>
      <c r="C46" s="178"/>
      <c r="D46" s="178"/>
      <c r="E46" s="178"/>
      <c r="F46" s="178"/>
      <c r="G46" s="178"/>
      <c r="H46" s="178"/>
      <c r="I46" s="178"/>
      <c r="J46" s="179"/>
      <c r="K46" s="308" t="s">
        <v>137</v>
      </c>
      <c r="L46" s="178"/>
      <c r="M46" s="178"/>
      <c r="N46" s="178"/>
      <c r="O46" s="178"/>
      <c r="P46" s="178"/>
      <c r="Q46" s="178"/>
      <c r="R46" s="178"/>
      <c r="S46" s="179"/>
      <c r="T46" s="279" t="s">
        <v>138</v>
      </c>
    </row>
    <row r="47">
      <c r="A47" s="261"/>
      <c r="B47" s="510" t="s">
        <v>21</v>
      </c>
      <c r="C47" s="141"/>
      <c r="D47" s="141"/>
      <c r="E47" s="141" t="s">
        <v>22</v>
      </c>
      <c r="F47" s="141"/>
      <c r="G47" s="141"/>
      <c r="H47" s="511" t="s">
        <v>23</v>
      </c>
      <c r="I47" s="511"/>
      <c r="J47" s="512"/>
      <c r="K47" s="510" t="s">
        <v>21</v>
      </c>
      <c r="L47" s="141"/>
      <c r="M47" s="141"/>
      <c r="N47" s="141" t="s">
        <v>22</v>
      </c>
      <c r="O47" s="141"/>
      <c r="P47" s="141"/>
      <c r="Q47" s="511" t="s">
        <v>23</v>
      </c>
      <c r="R47" s="511"/>
      <c r="S47" s="512"/>
      <c r="T47" s="513"/>
    </row>
    <row r="48">
      <c r="A48" s="113"/>
      <c r="B48" s="58" t="s">
        <v>24</v>
      </c>
      <c r="C48" s="54" t="s">
        <v>25</v>
      </c>
      <c r="D48" s="54" t="s">
        <v>26</v>
      </c>
      <c r="E48" s="514" t="s">
        <v>24</v>
      </c>
      <c r="F48" s="54" t="s">
        <v>25</v>
      </c>
      <c r="G48" s="54" t="s">
        <v>26</v>
      </c>
      <c r="H48" s="514" t="s">
        <v>24</v>
      </c>
      <c r="I48" s="54" t="s">
        <v>25</v>
      </c>
      <c r="J48" s="55" t="s">
        <v>26</v>
      </c>
      <c r="K48" s="58" t="s">
        <v>24</v>
      </c>
      <c r="L48" s="54" t="s">
        <v>25</v>
      </c>
      <c r="M48" s="54" t="s">
        <v>26</v>
      </c>
      <c r="N48" s="514" t="s">
        <v>24</v>
      </c>
      <c r="O48" s="54" t="s">
        <v>25</v>
      </c>
      <c r="P48" s="54" t="s">
        <v>26</v>
      </c>
      <c r="Q48" s="514" t="s">
        <v>24</v>
      </c>
      <c r="R48" s="54" t="s">
        <v>25</v>
      </c>
      <c r="S48" s="55" t="s">
        <v>26</v>
      </c>
      <c r="T48" s="280"/>
    </row>
    <row r="49">
      <c r="A49" s="241" t="s">
        <v>65</v>
      </c>
      <c r="B49" s="201">
        <f t="shared" ref="B49:D49" si="20">B28</f>
        <v>83.03778892</v>
      </c>
      <c r="C49" s="202">
        <f t="shared" si="20"/>
        <v>226.6483516</v>
      </c>
      <c r="D49" s="202">
        <f t="shared" si="20"/>
        <v>387.6201923</v>
      </c>
      <c r="E49" s="515">
        <f t="shared" ref="E49:G49" si="21">E34</f>
        <v>230.7692308</v>
      </c>
      <c r="F49" s="515">
        <f t="shared" si="21"/>
        <v>427.7633263</v>
      </c>
      <c r="G49" s="515">
        <f t="shared" si="21"/>
        <v>592.556482</v>
      </c>
      <c r="H49" s="143">
        <v>0.0</v>
      </c>
      <c r="I49" s="143">
        <v>0.0</v>
      </c>
      <c r="J49" s="144">
        <v>0.0</v>
      </c>
      <c r="K49" s="201">
        <f>B41*numberDwellingsUK/1000</f>
        <v>3575.83672</v>
      </c>
      <c r="L49" s="202">
        <f>C41*numberDwellingsUK/1000</f>
        <v>6022.461844</v>
      </c>
      <c r="M49" s="202">
        <f>D41*numberDwellingsUK/1000</f>
        <v>7866.840784</v>
      </c>
      <c r="N49" s="202">
        <f>B42*numberDwellingsUK/1000</f>
        <v>559.529804</v>
      </c>
      <c r="O49" s="202">
        <f>C42*numberDwellingsUK/1000</f>
        <v>942.3659856</v>
      </c>
      <c r="P49" s="202">
        <f>D42*numberDwellingsUK/1000</f>
        <v>1230.965569</v>
      </c>
      <c r="Q49" s="143">
        <v>0.0</v>
      </c>
      <c r="R49" s="143">
        <v>0.0</v>
      </c>
      <c r="S49" s="144">
        <v>0.0</v>
      </c>
      <c r="T49" s="153" t="s">
        <v>33</v>
      </c>
    </row>
    <row r="50">
      <c r="A50" s="241" t="s">
        <v>363</v>
      </c>
      <c r="B50" s="497">
        <f t="shared" ref="B50:D50" si="22">E28</f>
        <v>224.2020301</v>
      </c>
      <c r="C50" s="498">
        <f t="shared" si="22"/>
        <v>419.2994505</v>
      </c>
      <c r="D50" s="498">
        <f t="shared" si="22"/>
        <v>607.2716346</v>
      </c>
      <c r="E50" s="471">
        <f t="shared" ref="E50:G50" si="23">E34</f>
        <v>230.7692308</v>
      </c>
      <c r="F50" s="471">
        <f t="shared" si="23"/>
        <v>427.7633263</v>
      </c>
      <c r="G50" s="471">
        <f t="shared" si="23"/>
        <v>592.556482</v>
      </c>
      <c r="H50" s="186">
        <v>0.0</v>
      </c>
      <c r="I50" s="186">
        <v>0.0</v>
      </c>
      <c r="J50" s="216">
        <v>0.0</v>
      </c>
      <c r="K50" s="470">
        <f t="shared" ref="K50:P50" si="24">K49</f>
        <v>3575.83672</v>
      </c>
      <c r="L50" s="471">
        <f t="shared" si="24"/>
        <v>6022.461844</v>
      </c>
      <c r="M50" s="471">
        <f t="shared" si="24"/>
        <v>7866.840784</v>
      </c>
      <c r="N50" s="471">
        <f t="shared" si="24"/>
        <v>559.529804</v>
      </c>
      <c r="O50" s="471">
        <f t="shared" si="24"/>
        <v>942.3659856</v>
      </c>
      <c r="P50" s="471">
        <f t="shared" si="24"/>
        <v>1230.965569</v>
      </c>
      <c r="Q50" s="186">
        <v>0.0</v>
      </c>
      <c r="R50" s="186">
        <v>0.0</v>
      </c>
      <c r="S50" s="216">
        <v>0.0</v>
      </c>
      <c r="T50" s="516" t="s">
        <v>33</v>
      </c>
    </row>
    <row r="51">
      <c r="A51" s="234"/>
    </row>
    <row r="52">
      <c r="A52" s="234"/>
    </row>
    <row r="53">
      <c r="A53" s="234"/>
    </row>
    <row r="54">
      <c r="A54" s="234"/>
    </row>
    <row r="55">
      <c r="A55" s="234"/>
    </row>
    <row r="56">
      <c r="A56" s="234"/>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5">
    <mergeCell ref="B13:D13"/>
    <mergeCell ref="E13:G13"/>
    <mergeCell ref="B46:J46"/>
    <mergeCell ref="K46:S46"/>
    <mergeCell ref="T46:T48"/>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6.44"/>
    <col customWidth="1" min="2" max="19" width="10.44"/>
    <col customWidth="1" min="20" max="20" width="19.44"/>
    <col customWidth="1" min="21" max="26" width="10.44"/>
  </cols>
  <sheetData>
    <row r="1">
      <c r="A1" s="68" t="s">
        <v>364</v>
      </c>
      <c r="B1" s="18"/>
      <c r="C1" s="18"/>
      <c r="D1" s="18"/>
    </row>
    <row r="2">
      <c r="A2" s="68" t="s">
        <v>365</v>
      </c>
      <c r="B2" s="18"/>
      <c r="C2" s="18"/>
      <c r="D2" s="18"/>
    </row>
    <row r="3">
      <c r="A3" s="234" t="s">
        <v>366</v>
      </c>
    </row>
    <row r="4">
      <c r="A4" s="234" t="s">
        <v>367</v>
      </c>
    </row>
    <row r="5" ht="61.5" customHeight="1">
      <c r="A5" s="234" t="s">
        <v>368</v>
      </c>
    </row>
    <row r="6">
      <c r="A6" s="234" t="s">
        <v>369</v>
      </c>
    </row>
    <row r="7">
      <c r="A7" s="234"/>
    </row>
    <row r="8">
      <c r="A8" s="234"/>
      <c r="E8" s="517"/>
      <c r="F8" s="517"/>
    </row>
    <row r="9">
      <c r="A9" s="234"/>
      <c r="E9" s="517"/>
      <c r="F9" s="517"/>
    </row>
    <row r="10">
      <c r="A10" s="234"/>
      <c r="E10" s="517"/>
      <c r="F10" s="517"/>
    </row>
    <row r="11">
      <c r="A11" s="234"/>
      <c r="E11" s="517"/>
      <c r="F11" s="517"/>
    </row>
    <row r="12">
      <c r="A12" s="518" t="s">
        <v>370</v>
      </c>
      <c r="B12" s="236" t="s">
        <v>24</v>
      </c>
      <c r="C12" s="236" t="s">
        <v>25</v>
      </c>
      <c r="D12" s="258" t="s">
        <v>26</v>
      </c>
      <c r="E12" s="517"/>
      <c r="F12" s="517"/>
    </row>
    <row r="13">
      <c r="A13" s="519" t="s">
        <v>371</v>
      </c>
      <c r="B13" s="520">
        <v>50.0</v>
      </c>
      <c r="C13" s="520">
        <v>52.0</v>
      </c>
      <c r="D13" s="521">
        <v>55.0</v>
      </c>
      <c r="E13" s="517" t="s">
        <v>331</v>
      </c>
      <c r="F13" s="517" t="s">
        <v>372</v>
      </c>
    </row>
    <row r="14">
      <c r="A14" s="519" t="s">
        <v>373</v>
      </c>
      <c r="B14" s="520">
        <v>45.0</v>
      </c>
      <c r="C14" s="520">
        <v>42.0</v>
      </c>
      <c r="D14" s="521">
        <v>40.0</v>
      </c>
      <c r="E14" s="517" t="s">
        <v>331</v>
      </c>
      <c r="F14" s="517"/>
    </row>
    <row r="15">
      <c r="A15" s="519" t="s">
        <v>374</v>
      </c>
      <c r="B15" s="520">
        <v>13.0</v>
      </c>
      <c r="C15" s="520">
        <v>13.0</v>
      </c>
      <c r="D15" s="521">
        <v>13.0</v>
      </c>
      <c r="E15" s="517" t="s">
        <v>331</v>
      </c>
      <c r="F15" s="517" t="s">
        <v>375</v>
      </c>
    </row>
    <row r="16">
      <c r="A16" s="519" t="s">
        <v>376</v>
      </c>
      <c r="B16" s="520">
        <v>2.0</v>
      </c>
      <c r="C16" s="520">
        <v>2.5</v>
      </c>
      <c r="D16" s="521">
        <v>3.0</v>
      </c>
      <c r="E16" s="517"/>
      <c r="F16" s="517"/>
    </row>
    <row r="17">
      <c r="A17" s="519" t="s">
        <v>377</v>
      </c>
      <c r="B17" s="522">
        <f t="shared" ref="B17:D17" si="1">(9.8*B16+14)*1.075</f>
        <v>36.12</v>
      </c>
      <c r="C17" s="522">
        <f t="shared" si="1"/>
        <v>41.3875</v>
      </c>
      <c r="D17" s="523">
        <f t="shared" si="1"/>
        <v>46.655</v>
      </c>
      <c r="E17" s="517" t="s">
        <v>378</v>
      </c>
      <c r="F17" s="517" t="s">
        <v>379</v>
      </c>
    </row>
    <row r="18">
      <c r="A18" s="519" t="s">
        <v>380</v>
      </c>
      <c r="B18" s="522">
        <f t="shared" ref="B18:D18" si="2">(B13-B15)*B17*4.18/3600*365</f>
        <v>566.3906967</v>
      </c>
      <c r="C18" s="522">
        <f t="shared" si="2"/>
        <v>684.0698448</v>
      </c>
      <c r="D18" s="523">
        <f t="shared" si="2"/>
        <v>830.4512242</v>
      </c>
      <c r="E18" s="517" t="s">
        <v>116</v>
      </c>
      <c r="F18" s="517"/>
    </row>
    <row r="19">
      <c r="A19" s="519" t="s">
        <v>381</v>
      </c>
      <c r="B19" s="522">
        <f t="shared" ref="B19:D19" si="3">(B14-B15)*B17*4.18/3600*365</f>
        <v>489.8514133</v>
      </c>
      <c r="C19" s="522">
        <f t="shared" si="3"/>
        <v>508.6673205</v>
      </c>
      <c r="D19" s="523">
        <f t="shared" si="3"/>
        <v>533.8615013</v>
      </c>
      <c r="E19" s="517" t="s">
        <v>116</v>
      </c>
      <c r="F19" s="517"/>
    </row>
    <row r="20">
      <c r="A20" s="524" t="s">
        <v>341</v>
      </c>
      <c r="B20" s="525">
        <f t="shared" ref="B20:D20" si="4">B18-B19</f>
        <v>76.53928333</v>
      </c>
      <c r="C20" s="525">
        <f t="shared" si="4"/>
        <v>175.4025243</v>
      </c>
      <c r="D20" s="526">
        <f t="shared" si="4"/>
        <v>296.5897229</v>
      </c>
      <c r="E20" s="517" t="s">
        <v>116</v>
      </c>
      <c r="F20" s="517"/>
    </row>
    <row r="21">
      <c r="A21" s="234"/>
    </row>
    <row r="22">
      <c r="A22" s="518" t="s">
        <v>382</v>
      </c>
      <c r="B22" s="20" t="s">
        <v>24</v>
      </c>
      <c r="C22" s="20" t="s">
        <v>25</v>
      </c>
      <c r="D22" s="21" t="s">
        <v>26</v>
      </c>
    </row>
    <row r="23">
      <c r="A23" s="519" t="s">
        <v>383</v>
      </c>
      <c r="B23" s="444">
        <f>'Reducing DHW temp. (cylinder)'!B23</f>
        <v>0.74</v>
      </c>
      <c r="C23" s="444">
        <f>'Reducing DHW temp. (cylinder)'!C23</f>
        <v>0.7</v>
      </c>
      <c r="D23" s="527">
        <f>'Reducing DHW temp. (cylinder)'!D23</f>
        <v>0.64</v>
      </c>
      <c r="F23" s="217" t="s">
        <v>384</v>
      </c>
    </row>
    <row r="24">
      <c r="A24" s="524" t="s">
        <v>385</v>
      </c>
      <c r="B24" s="528">
        <f>'Reducing DHW temp. (cylinder)'!B30</f>
        <v>0.72</v>
      </c>
      <c r="C24" s="528">
        <f>'Reducing DHW temp. (cylinder)'!C30</f>
        <v>0.69</v>
      </c>
      <c r="D24" s="529">
        <f>'Reducing DHW temp. (cylinder)'!D30</f>
        <v>0.66</v>
      </c>
      <c r="F24" s="217" t="s">
        <v>384</v>
      </c>
    </row>
    <row r="25">
      <c r="A25" s="234"/>
    </row>
    <row r="26">
      <c r="A26" s="278" t="s">
        <v>115</v>
      </c>
      <c r="B26" s="21"/>
      <c r="C26" s="278" t="s">
        <v>116</v>
      </c>
      <c r="D26" s="20"/>
      <c r="E26" s="21"/>
      <c r="F26" s="278" t="s">
        <v>117</v>
      </c>
      <c r="G26" s="20"/>
      <c r="H26" s="21"/>
    </row>
    <row r="27">
      <c r="A27" s="530"/>
      <c r="B27" s="531"/>
      <c r="C27" s="237" t="s">
        <v>24</v>
      </c>
      <c r="D27" s="238" t="s">
        <v>25</v>
      </c>
      <c r="E27" s="239" t="s">
        <v>26</v>
      </c>
      <c r="F27" s="237" t="s">
        <v>24</v>
      </c>
      <c r="G27" s="238" t="s">
        <v>25</v>
      </c>
      <c r="H27" s="239" t="s">
        <v>26</v>
      </c>
    </row>
    <row r="28">
      <c r="A28" s="442" t="s">
        <v>386</v>
      </c>
      <c r="B28" s="532" t="s">
        <v>21</v>
      </c>
      <c r="C28" s="533">
        <f t="shared" ref="C28:E28" si="5">B20/B23</f>
        <v>103.431464</v>
      </c>
      <c r="D28" s="522">
        <f t="shared" si="5"/>
        <v>250.5750347</v>
      </c>
      <c r="E28" s="523">
        <f t="shared" si="5"/>
        <v>463.4214421</v>
      </c>
      <c r="F28" s="534">
        <f>ROUND(C28*gasPriceP/100,0)</f>
        <v>7</v>
      </c>
      <c r="G28" s="535">
        <f>ROUND(D28*gasPriceP/100,0)</f>
        <v>17</v>
      </c>
      <c r="H28" s="536">
        <f>ROUND(E28*gasPriceP/100,0)</f>
        <v>32</v>
      </c>
    </row>
    <row r="29">
      <c r="A29" s="524"/>
      <c r="B29" s="537" t="s">
        <v>22</v>
      </c>
      <c r="C29" s="538">
        <f t="shared" ref="C29:E29" si="6">B20/B24</f>
        <v>106.3045602</v>
      </c>
      <c r="D29" s="525">
        <f t="shared" si="6"/>
        <v>254.206557</v>
      </c>
      <c r="E29" s="526">
        <f t="shared" si="6"/>
        <v>449.3783681</v>
      </c>
      <c r="F29" s="539">
        <f>ROUND(C29*oilPriceP/100,0)</f>
        <v>10</v>
      </c>
      <c r="G29" s="540">
        <f>ROUND(D29*oilPriceP/100,0)</f>
        <v>25</v>
      </c>
      <c r="H29" s="541">
        <f>ROUND(E29*oilPriceP/100,0)</f>
        <v>43</v>
      </c>
    </row>
    <row r="30">
      <c r="A30" s="234"/>
    </row>
    <row r="31">
      <c r="A31" s="518" t="s">
        <v>241</v>
      </c>
      <c r="B31" s="20"/>
      <c r="C31" s="542" t="s">
        <v>24</v>
      </c>
      <c r="D31" s="268" t="s">
        <v>25</v>
      </c>
      <c r="E31" s="269" t="s">
        <v>26</v>
      </c>
    </row>
    <row r="32">
      <c r="A32" s="543" t="s">
        <v>309</v>
      </c>
      <c r="B32" s="57" t="s">
        <v>21</v>
      </c>
      <c r="C32" s="444">
        <f t="shared" ref="C32:C33" si="7">D32*0.95</f>
        <v>0.5397955446</v>
      </c>
      <c r="D32" s="444">
        <f>propHomesGasHeating*(1-propGasRegular)</f>
        <v>0.5682058365</v>
      </c>
      <c r="E32" s="527">
        <f t="shared" ref="E32:E33" si="8">D32*1.05</f>
        <v>0.5966161283</v>
      </c>
    </row>
    <row r="33">
      <c r="A33" s="544" t="s">
        <v>387</v>
      </c>
      <c r="B33" s="545" t="s">
        <v>22</v>
      </c>
      <c r="C33" s="392">
        <f t="shared" si="7"/>
        <v>0.01121099049</v>
      </c>
      <c r="D33" s="392">
        <f>propHomesOilHeating*(1-propOilRegular)</f>
        <v>0.01180104262</v>
      </c>
      <c r="E33" s="546">
        <f t="shared" si="8"/>
        <v>0.01239109475</v>
      </c>
    </row>
    <row r="34">
      <c r="A34" s="234"/>
    </row>
    <row r="35">
      <c r="A35" s="234"/>
    </row>
    <row r="36">
      <c r="A36" s="234"/>
    </row>
    <row r="37">
      <c r="A37" s="547" t="s">
        <v>3</v>
      </c>
      <c r="B37" s="548" t="s">
        <v>10</v>
      </c>
      <c r="C37" s="178"/>
      <c r="D37" s="178"/>
      <c r="E37" s="178"/>
      <c r="F37" s="178"/>
      <c r="G37" s="178"/>
      <c r="H37" s="178"/>
      <c r="I37" s="178"/>
      <c r="J37" s="492"/>
      <c r="K37" s="308" t="s">
        <v>137</v>
      </c>
      <c r="L37" s="178"/>
      <c r="M37" s="178"/>
      <c r="N37" s="178"/>
      <c r="O37" s="178"/>
      <c r="P37" s="178"/>
      <c r="Q37" s="178"/>
      <c r="R37" s="178"/>
      <c r="S37" s="179"/>
      <c r="T37" s="320" t="s">
        <v>138</v>
      </c>
    </row>
    <row r="38">
      <c r="A38" s="549"/>
      <c r="B38" s="40" t="s">
        <v>21</v>
      </c>
      <c r="C38" s="41"/>
      <c r="D38" s="42"/>
      <c r="E38" s="40" t="s">
        <v>22</v>
      </c>
      <c r="F38" s="41"/>
      <c r="G38" s="42"/>
      <c r="H38" s="43" t="s">
        <v>23</v>
      </c>
      <c r="I38" s="44"/>
      <c r="J38" s="45"/>
      <c r="K38" s="40" t="s">
        <v>21</v>
      </c>
      <c r="L38" s="41"/>
      <c r="M38" s="42"/>
      <c r="N38" s="40" t="s">
        <v>22</v>
      </c>
      <c r="O38" s="41"/>
      <c r="P38" s="42"/>
      <c r="Q38" s="43" t="s">
        <v>23</v>
      </c>
      <c r="R38" s="44"/>
      <c r="S38" s="45"/>
      <c r="T38" s="321"/>
    </row>
    <row r="39">
      <c r="A39" s="550"/>
      <c r="B39" s="58" t="s">
        <v>24</v>
      </c>
      <c r="C39" s="54" t="s">
        <v>25</v>
      </c>
      <c r="D39" s="55" t="s">
        <v>26</v>
      </c>
      <c r="E39" s="58" t="s">
        <v>24</v>
      </c>
      <c r="F39" s="54" t="s">
        <v>25</v>
      </c>
      <c r="G39" s="55" t="s">
        <v>26</v>
      </c>
      <c r="H39" s="58" t="s">
        <v>24</v>
      </c>
      <c r="I39" s="54" t="s">
        <v>25</v>
      </c>
      <c r="J39" s="55" t="s">
        <v>26</v>
      </c>
      <c r="K39" s="58" t="s">
        <v>24</v>
      </c>
      <c r="L39" s="54" t="s">
        <v>25</v>
      </c>
      <c r="M39" s="55" t="s">
        <v>26</v>
      </c>
      <c r="N39" s="58" t="s">
        <v>24</v>
      </c>
      <c r="O39" s="54" t="s">
        <v>25</v>
      </c>
      <c r="P39" s="55" t="s">
        <v>26</v>
      </c>
      <c r="Q39" s="58" t="s">
        <v>24</v>
      </c>
      <c r="R39" s="54" t="s">
        <v>25</v>
      </c>
      <c r="S39" s="55" t="s">
        <v>26</v>
      </c>
      <c r="T39" s="494"/>
    </row>
    <row r="40">
      <c r="A40" s="549" t="s">
        <v>89</v>
      </c>
      <c r="B40" s="116">
        <f t="shared" ref="B40:D40" si="9">C28</f>
        <v>103.431464</v>
      </c>
      <c r="C40" s="117">
        <f t="shared" si="9"/>
        <v>250.5750347</v>
      </c>
      <c r="D40" s="118">
        <f t="shared" si="9"/>
        <v>463.4214421</v>
      </c>
      <c r="E40" s="116">
        <f t="shared" ref="E40:G40" si="10">C29</f>
        <v>106.3045602</v>
      </c>
      <c r="F40" s="117">
        <f t="shared" si="10"/>
        <v>254.206557</v>
      </c>
      <c r="G40" s="118">
        <f t="shared" si="10"/>
        <v>449.3783681</v>
      </c>
      <c r="H40" s="551">
        <v>0.0</v>
      </c>
      <c r="I40" s="552">
        <v>0.0</v>
      </c>
      <c r="J40" s="553">
        <v>0.0</v>
      </c>
      <c r="K40" s="554">
        <f>C32*numberDwellingsUK/1000</f>
        <v>15197.30606</v>
      </c>
      <c r="L40" s="555">
        <f>D32*numberDwellingsUK/1000</f>
        <v>15997.16427</v>
      </c>
      <c r="M40" s="556">
        <f>E32*numberDwellingsUK/1000</f>
        <v>16797.02249</v>
      </c>
      <c r="N40" s="116">
        <f>C33*numberDwellingsUK/1000</f>
        <v>315.6321971</v>
      </c>
      <c r="O40" s="117">
        <f>D33*numberDwellingsUK/1000</f>
        <v>332.244418</v>
      </c>
      <c r="P40" s="118">
        <f>E33*numberDwellingsUK/1000</f>
        <v>348.8566389</v>
      </c>
      <c r="Q40" s="116">
        <v>0.0</v>
      </c>
      <c r="R40" s="117">
        <v>0.0</v>
      </c>
      <c r="S40" s="118">
        <v>0.0</v>
      </c>
      <c r="T40" s="297" t="s">
        <v>33</v>
      </c>
    </row>
    <row r="41">
      <c r="A41" s="234"/>
    </row>
    <row r="42">
      <c r="A42" s="234"/>
    </row>
    <row r="43">
      <c r="A43" s="234"/>
    </row>
    <row r="44">
      <c r="A44" s="234"/>
    </row>
    <row r="45">
      <c r="A45" s="234"/>
    </row>
    <row r="46">
      <c r="A46" s="234"/>
    </row>
    <row r="47">
      <c r="A47" s="234"/>
    </row>
    <row r="48">
      <c r="A48" s="234"/>
    </row>
    <row r="49">
      <c r="A49" s="234"/>
    </row>
    <row r="50">
      <c r="A50" s="234"/>
    </row>
    <row r="51">
      <c r="A51" s="234"/>
    </row>
    <row r="52">
      <c r="A52" s="234"/>
    </row>
    <row r="53">
      <c r="A53" s="234"/>
    </row>
    <row r="54">
      <c r="A54" s="234"/>
    </row>
    <row r="55">
      <c r="A55" s="234"/>
    </row>
    <row r="56">
      <c r="A56" s="234"/>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2">
    <mergeCell ref="B37:J37"/>
    <mergeCell ref="K37:S3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63.44"/>
    <col customWidth="1" min="2" max="26" width="10.44"/>
  </cols>
  <sheetData>
    <row r="1" ht="30.0" customHeight="1">
      <c r="A1" s="109" t="s">
        <v>31</v>
      </c>
      <c r="B1" s="18"/>
      <c r="C1" s="18"/>
      <c r="D1" s="18"/>
    </row>
    <row r="2">
      <c r="A2" s="109" t="s">
        <v>388</v>
      </c>
      <c r="B2" s="18"/>
      <c r="C2" s="18"/>
      <c r="D2" s="18"/>
    </row>
    <row r="3">
      <c r="A3" s="234" t="s">
        <v>389</v>
      </c>
      <c r="B3" s="302"/>
      <c r="C3" s="302"/>
    </row>
    <row r="4">
      <c r="A4" s="234" t="s">
        <v>390</v>
      </c>
      <c r="B4" s="302"/>
      <c r="C4" s="302"/>
    </row>
    <row r="5" ht="96.75" customHeight="1">
      <c r="A5" s="234" t="s">
        <v>391</v>
      </c>
      <c r="B5" s="302"/>
      <c r="C5" s="302"/>
    </row>
    <row r="6">
      <c r="A6" s="234" t="s">
        <v>392</v>
      </c>
      <c r="B6" s="557"/>
    </row>
    <row r="7">
      <c r="A7" s="234" t="s">
        <v>393</v>
      </c>
    </row>
    <row r="8">
      <c r="A8" s="234" t="s">
        <v>394</v>
      </c>
    </row>
    <row r="9">
      <c r="A9" s="234"/>
    </row>
    <row r="10">
      <c r="A10" s="68" t="s">
        <v>395</v>
      </c>
      <c r="B10" s="22"/>
      <c r="C10" s="177" t="s">
        <v>396</v>
      </c>
      <c r="D10" s="178"/>
      <c r="E10" s="492"/>
      <c r="F10" s="21"/>
    </row>
    <row r="11">
      <c r="A11" s="496"/>
      <c r="B11" s="558" t="s">
        <v>397</v>
      </c>
      <c r="C11" s="559" t="s">
        <v>398</v>
      </c>
      <c r="D11" s="560" t="s">
        <v>399</v>
      </c>
      <c r="E11" s="560" t="s">
        <v>400</v>
      </c>
      <c r="F11" s="561" t="s">
        <v>401</v>
      </c>
      <c r="G11" s="234"/>
      <c r="H11" s="234"/>
      <c r="I11" s="234"/>
      <c r="J11" s="234"/>
      <c r="K11" s="234"/>
      <c r="L11" s="234"/>
      <c r="M11" s="234"/>
      <c r="N11" s="234"/>
      <c r="O11" s="234"/>
      <c r="P11" s="234"/>
      <c r="Q11" s="234"/>
      <c r="R11" s="234"/>
      <c r="S11" s="234"/>
      <c r="T11" s="234"/>
      <c r="U11" s="234"/>
      <c r="V11" s="234"/>
      <c r="W11" s="234"/>
      <c r="X11" s="234"/>
      <c r="Y11" s="234"/>
      <c r="Z11" s="234"/>
    </row>
    <row r="12">
      <c r="A12" s="496"/>
      <c r="B12" s="562">
        <v>0.1</v>
      </c>
      <c r="C12" s="563">
        <v>0.0</v>
      </c>
      <c r="D12" s="564">
        <v>0.002</v>
      </c>
      <c r="E12" s="564">
        <v>-0.001</v>
      </c>
      <c r="F12" s="565">
        <v>0.0</v>
      </c>
    </row>
    <row r="13">
      <c r="A13" s="496"/>
      <c r="B13" s="562">
        <v>0.2</v>
      </c>
      <c r="C13" s="563">
        <v>0.0</v>
      </c>
      <c r="D13" s="564">
        <v>0.003</v>
      </c>
      <c r="E13" s="564">
        <v>-0.002</v>
      </c>
      <c r="F13" s="565">
        <v>0.0</v>
      </c>
    </row>
    <row r="14">
      <c r="A14" s="496" t="s">
        <v>402</v>
      </c>
      <c r="B14" s="566">
        <v>0.4</v>
      </c>
      <c r="C14" s="567">
        <v>-0.007</v>
      </c>
      <c r="D14" s="568">
        <v>-0.001</v>
      </c>
      <c r="E14" s="568">
        <v>-0.013</v>
      </c>
      <c r="F14" s="569">
        <v>-0.009</v>
      </c>
    </row>
    <row r="15">
      <c r="A15" s="234"/>
    </row>
    <row r="16">
      <c r="A16" s="234"/>
    </row>
    <row r="17">
      <c r="A17" s="68" t="s">
        <v>403</v>
      </c>
      <c r="B17" s="570" t="s">
        <v>24</v>
      </c>
      <c r="C17" s="570" t="s">
        <v>25</v>
      </c>
      <c r="D17" s="570" t="s">
        <v>26</v>
      </c>
      <c r="E17" s="18"/>
      <c r="F17" s="18"/>
    </row>
    <row r="18" ht="65.25" customHeight="1">
      <c r="A18" s="496" t="s">
        <v>404</v>
      </c>
      <c r="B18" s="571">
        <v>0.1</v>
      </c>
      <c r="C18" s="571">
        <v>0.3</v>
      </c>
      <c r="D18" s="571">
        <v>0.5</v>
      </c>
      <c r="E18" s="217" t="s">
        <v>405</v>
      </c>
    </row>
    <row r="19">
      <c r="A19" s="496" t="s">
        <v>406</v>
      </c>
      <c r="B19" s="571">
        <v>0.2</v>
      </c>
      <c r="C19" s="571">
        <v>0.4</v>
      </c>
      <c r="D19" s="571">
        <v>0.8</v>
      </c>
      <c r="E19" s="217" t="s">
        <v>405</v>
      </c>
    </row>
    <row r="20">
      <c r="A20" s="496" t="s">
        <v>407</v>
      </c>
      <c r="B20" s="572">
        <f t="shared" ref="B20:D20" si="1">B18*B19</f>
        <v>0.02</v>
      </c>
      <c r="C20" s="572">
        <f t="shared" si="1"/>
        <v>0.12</v>
      </c>
      <c r="D20" s="572">
        <f t="shared" si="1"/>
        <v>0.4</v>
      </c>
    </row>
    <row r="21">
      <c r="A21" s="496"/>
      <c r="B21" s="80"/>
      <c r="C21" s="80"/>
      <c r="D21" s="80"/>
    </row>
    <row r="22">
      <c r="A22" s="573" t="s">
        <v>408</v>
      </c>
      <c r="B22" s="574">
        <f>MIN(C12:F12)</f>
        <v>-0.001</v>
      </c>
      <c r="C22" s="574" t="str">
        <f>F1</f>
        <v/>
      </c>
      <c r="D22" s="574">
        <f>MIN(C14:F14)</f>
        <v>-0.013</v>
      </c>
    </row>
    <row r="23">
      <c r="A23" s="234"/>
    </row>
    <row r="24">
      <c r="A24" s="234"/>
    </row>
    <row r="25">
      <c r="A25" s="234"/>
    </row>
    <row r="26">
      <c r="A26" s="234"/>
    </row>
    <row r="27">
      <c r="A27" s="234"/>
    </row>
    <row r="28">
      <c r="A28" s="234"/>
    </row>
    <row r="29">
      <c r="A29" s="234"/>
    </row>
    <row r="30">
      <c r="A30" s="234"/>
    </row>
    <row r="31">
      <c r="A31" s="234"/>
    </row>
    <row r="32">
      <c r="A32" s="234"/>
    </row>
    <row r="33">
      <c r="A33" s="234"/>
    </row>
    <row r="34">
      <c r="A34" s="234"/>
    </row>
    <row r="35">
      <c r="A35" s="234"/>
    </row>
    <row r="36">
      <c r="A36" s="234"/>
    </row>
    <row r="37">
      <c r="A37" s="234"/>
    </row>
    <row r="38">
      <c r="A38" s="234"/>
    </row>
    <row r="39">
      <c r="A39" s="234"/>
    </row>
    <row r="40">
      <c r="A40" s="234"/>
    </row>
    <row r="41">
      <c r="A41" s="234"/>
    </row>
    <row r="42">
      <c r="A42" s="234"/>
    </row>
    <row r="43">
      <c r="A43" s="234"/>
    </row>
    <row r="44">
      <c r="A44" s="234"/>
    </row>
    <row r="45">
      <c r="A45" s="234"/>
    </row>
    <row r="46">
      <c r="A46" s="234"/>
    </row>
    <row r="47">
      <c r="A47" s="234"/>
    </row>
    <row r="48">
      <c r="A48" s="234"/>
    </row>
    <row r="49">
      <c r="A49" s="234"/>
    </row>
    <row r="50">
      <c r="A50" s="234"/>
    </row>
    <row r="51">
      <c r="A51" s="234"/>
    </row>
    <row r="52">
      <c r="A52" s="234"/>
    </row>
    <row r="53">
      <c r="A53" s="234"/>
    </row>
    <row r="54">
      <c r="A54" s="234"/>
    </row>
    <row r="55">
      <c r="A55" s="234"/>
    </row>
    <row r="56">
      <c r="A56" s="234"/>
    </row>
    <row r="57">
      <c r="A57" s="234"/>
    </row>
    <row r="58">
      <c r="A58" s="234"/>
    </row>
    <row r="59">
      <c r="A59" s="234"/>
    </row>
    <row r="60">
      <c r="A60" s="234"/>
    </row>
    <row r="61">
      <c r="A61" s="234"/>
    </row>
    <row r="62">
      <c r="A62" s="234"/>
    </row>
    <row r="63">
      <c r="A63" s="234"/>
    </row>
    <row r="64">
      <c r="A64" s="234"/>
    </row>
    <row r="65">
      <c r="A65" s="234"/>
    </row>
    <row r="66">
      <c r="A66" s="234"/>
    </row>
    <row r="67">
      <c r="A67" s="234"/>
    </row>
    <row r="68">
      <c r="A68" s="234"/>
    </row>
    <row r="69">
      <c r="A69" s="234"/>
    </row>
    <row r="70">
      <c r="A70" s="234"/>
    </row>
    <row r="71">
      <c r="A71" s="234"/>
    </row>
    <row r="72">
      <c r="A72" s="234"/>
    </row>
    <row r="73">
      <c r="A73" s="234"/>
    </row>
    <row r="74">
      <c r="A74" s="234"/>
    </row>
    <row r="75">
      <c r="A75" s="234"/>
    </row>
    <row r="76">
      <c r="A76" s="234"/>
    </row>
    <row r="77">
      <c r="A77" s="234"/>
    </row>
    <row r="78">
      <c r="A78" s="234"/>
    </row>
    <row r="79">
      <c r="A79" s="234"/>
    </row>
    <row r="80">
      <c r="A80" s="234"/>
    </row>
    <row r="81">
      <c r="A81" s="234"/>
    </row>
    <row r="82">
      <c r="A82" s="234"/>
    </row>
    <row r="83">
      <c r="A83" s="234"/>
    </row>
    <row r="84">
      <c r="A84" s="234"/>
    </row>
    <row r="85">
      <c r="A85" s="234"/>
    </row>
    <row r="86">
      <c r="A86" s="234"/>
    </row>
    <row r="87">
      <c r="A87" s="234"/>
    </row>
    <row r="88">
      <c r="A88" s="234"/>
    </row>
    <row r="89">
      <c r="A89" s="234"/>
    </row>
    <row r="90">
      <c r="A90" s="234"/>
    </row>
    <row r="91">
      <c r="A91" s="234"/>
    </row>
    <row r="92">
      <c r="A92" s="234"/>
    </row>
    <row r="93">
      <c r="A93" s="234"/>
    </row>
    <row r="94">
      <c r="A94" s="234"/>
    </row>
    <row r="95">
      <c r="A95" s="234"/>
    </row>
    <row r="96">
      <c r="A96" s="234"/>
    </row>
    <row r="97">
      <c r="A97" s="234"/>
    </row>
    <row r="98">
      <c r="A98" s="234"/>
    </row>
    <row r="99">
      <c r="A99" s="234"/>
    </row>
    <row r="100">
      <c r="A100" s="234"/>
    </row>
    <row r="101">
      <c r="A101" s="234"/>
    </row>
    <row r="102">
      <c r="A102" s="234"/>
    </row>
    <row r="103">
      <c r="A103" s="234"/>
    </row>
    <row r="104">
      <c r="A104" s="234"/>
    </row>
    <row r="105">
      <c r="A105" s="234"/>
    </row>
    <row r="106">
      <c r="A106" s="234"/>
    </row>
    <row r="107">
      <c r="A107" s="234"/>
    </row>
    <row r="108">
      <c r="A108" s="234"/>
    </row>
    <row r="109">
      <c r="A109" s="234"/>
    </row>
    <row r="110">
      <c r="A110" s="234"/>
    </row>
    <row r="111">
      <c r="A111" s="234"/>
    </row>
    <row r="112">
      <c r="A112" s="234"/>
    </row>
    <row r="113">
      <c r="A113" s="234"/>
    </row>
    <row r="114">
      <c r="A114" s="234"/>
    </row>
    <row r="115">
      <c r="A115" s="234"/>
    </row>
    <row r="116">
      <c r="A116" s="234"/>
    </row>
    <row r="117">
      <c r="A117" s="234"/>
    </row>
    <row r="118">
      <c r="A118" s="234"/>
    </row>
    <row r="119">
      <c r="A119" s="234"/>
    </row>
    <row r="120">
      <c r="A120" s="234"/>
    </row>
    <row r="121">
      <c r="A121" s="234"/>
    </row>
    <row r="122">
      <c r="A122" s="234"/>
    </row>
    <row r="123">
      <c r="A123" s="234"/>
    </row>
    <row r="124">
      <c r="A124" s="234"/>
    </row>
    <row r="125">
      <c r="A125" s="234"/>
    </row>
    <row r="126">
      <c r="A126" s="234"/>
    </row>
    <row r="127">
      <c r="A127" s="234"/>
    </row>
    <row r="128">
      <c r="A128" s="234"/>
    </row>
    <row r="129">
      <c r="A129" s="234"/>
    </row>
    <row r="130">
      <c r="A130" s="234"/>
    </row>
    <row r="131">
      <c r="A131" s="234"/>
    </row>
    <row r="132">
      <c r="A132" s="234"/>
    </row>
    <row r="133">
      <c r="A133" s="234"/>
    </row>
    <row r="134">
      <c r="A134" s="234"/>
    </row>
    <row r="135">
      <c r="A135" s="234"/>
    </row>
    <row r="136">
      <c r="A136" s="234"/>
    </row>
    <row r="137">
      <c r="A137" s="234"/>
    </row>
    <row r="138">
      <c r="A138" s="234"/>
    </row>
    <row r="139">
      <c r="A139" s="234"/>
    </row>
    <row r="140">
      <c r="A140" s="234"/>
    </row>
    <row r="141">
      <c r="A141" s="234"/>
    </row>
    <row r="142">
      <c r="A142" s="234"/>
    </row>
    <row r="143">
      <c r="A143" s="234"/>
    </row>
    <row r="144">
      <c r="A144" s="234"/>
    </row>
    <row r="145">
      <c r="A145" s="234"/>
    </row>
    <row r="146">
      <c r="A146" s="234"/>
    </row>
    <row r="147">
      <c r="A147" s="234"/>
    </row>
    <row r="148">
      <c r="A148" s="234"/>
    </row>
    <row r="149">
      <c r="A149" s="234"/>
    </row>
    <row r="150">
      <c r="A150" s="234"/>
    </row>
    <row r="151">
      <c r="A151" s="234"/>
    </row>
    <row r="152">
      <c r="A152" s="234"/>
    </row>
    <row r="153">
      <c r="A153" s="234"/>
    </row>
    <row r="154">
      <c r="A154" s="234"/>
    </row>
    <row r="155">
      <c r="A155" s="234"/>
    </row>
    <row r="156">
      <c r="A156" s="234"/>
    </row>
    <row r="157">
      <c r="A157" s="234"/>
    </row>
    <row r="158">
      <c r="A158" s="234"/>
    </row>
    <row r="159">
      <c r="A159" s="234"/>
    </row>
    <row r="160">
      <c r="A160" s="234"/>
    </row>
    <row r="161">
      <c r="A161" s="234"/>
    </row>
    <row r="162">
      <c r="A162" s="234"/>
    </row>
    <row r="163">
      <c r="A163" s="234"/>
    </row>
    <row r="164">
      <c r="A164" s="234"/>
    </row>
    <row r="165">
      <c r="A165" s="234"/>
    </row>
    <row r="166">
      <c r="A166" s="234"/>
    </row>
    <row r="167">
      <c r="A167" s="234"/>
    </row>
    <row r="168">
      <c r="A168" s="234"/>
    </row>
    <row r="169">
      <c r="A169" s="234"/>
    </row>
    <row r="170">
      <c r="A170" s="234"/>
    </row>
    <row r="171">
      <c r="A171" s="234"/>
    </row>
    <row r="172">
      <c r="A172" s="234"/>
    </row>
    <row r="173">
      <c r="A173" s="234"/>
    </row>
    <row r="174">
      <c r="A174" s="234"/>
    </row>
    <row r="175">
      <c r="A175" s="234"/>
    </row>
    <row r="176">
      <c r="A176" s="234"/>
    </row>
    <row r="177">
      <c r="A177" s="234"/>
    </row>
    <row r="178">
      <c r="A178" s="234"/>
    </row>
    <row r="179">
      <c r="A179" s="234"/>
    </row>
    <row r="180">
      <c r="A180" s="234"/>
    </row>
    <row r="181">
      <c r="A181" s="234"/>
    </row>
    <row r="182">
      <c r="A182" s="234"/>
    </row>
    <row r="183">
      <c r="A183" s="234"/>
    </row>
    <row r="184">
      <c r="A184" s="234"/>
    </row>
    <row r="185">
      <c r="A185" s="234"/>
    </row>
    <row r="186">
      <c r="A186" s="234"/>
    </row>
    <row r="187">
      <c r="A187" s="234"/>
    </row>
    <row r="188">
      <c r="A188" s="234"/>
    </row>
    <row r="189">
      <c r="A189" s="234"/>
    </row>
    <row r="190">
      <c r="A190" s="234"/>
    </row>
    <row r="191">
      <c r="A191" s="234"/>
    </row>
    <row r="192">
      <c r="A192" s="234"/>
    </row>
    <row r="193">
      <c r="A193" s="234"/>
    </row>
    <row r="194">
      <c r="A194" s="234"/>
    </row>
    <row r="195">
      <c r="A195" s="234"/>
    </row>
    <row r="196">
      <c r="A196" s="234"/>
    </row>
    <row r="197">
      <c r="A197" s="234"/>
    </row>
    <row r="198">
      <c r="A198" s="234"/>
    </row>
    <row r="199">
      <c r="A199" s="234"/>
    </row>
    <row r="200">
      <c r="A200" s="234"/>
    </row>
    <row r="201">
      <c r="A201" s="234"/>
    </row>
    <row r="202">
      <c r="A202" s="234"/>
    </row>
    <row r="203">
      <c r="A203" s="234"/>
    </row>
    <row r="204">
      <c r="A204" s="234"/>
    </row>
    <row r="205">
      <c r="A205" s="234"/>
    </row>
    <row r="206">
      <c r="A206" s="234"/>
    </row>
    <row r="207">
      <c r="A207" s="234"/>
    </row>
    <row r="208">
      <c r="A208" s="234"/>
    </row>
    <row r="209">
      <c r="A209" s="234"/>
    </row>
    <row r="210">
      <c r="A210" s="234"/>
    </row>
    <row r="211">
      <c r="A211" s="234"/>
    </row>
    <row r="212">
      <c r="A212" s="234"/>
    </row>
    <row r="213">
      <c r="A213" s="234"/>
    </row>
    <row r="214">
      <c r="A214" s="234"/>
    </row>
    <row r="215">
      <c r="A215" s="234"/>
    </row>
    <row r="216">
      <c r="A216" s="234"/>
    </row>
    <row r="217">
      <c r="A217" s="234"/>
    </row>
    <row r="218">
      <c r="A218" s="234"/>
    </row>
    <row r="219">
      <c r="A219" s="234"/>
    </row>
    <row r="220">
      <c r="A220" s="234"/>
    </row>
    <row r="221">
      <c r="A221" s="234"/>
    </row>
    <row r="222">
      <c r="A222" s="234"/>
    </row>
    <row r="223">
      <c r="A223" s="234"/>
    </row>
    <row r="224">
      <c r="A224" s="234"/>
    </row>
    <row r="225">
      <c r="A225" s="234"/>
    </row>
    <row r="226">
      <c r="A226" s="234"/>
    </row>
    <row r="227">
      <c r="A227" s="234"/>
    </row>
    <row r="228">
      <c r="A228" s="234"/>
    </row>
    <row r="229">
      <c r="A229" s="234"/>
    </row>
    <row r="230">
      <c r="A230" s="234"/>
    </row>
    <row r="231">
      <c r="A231" s="234"/>
    </row>
    <row r="232">
      <c r="A232" s="234"/>
    </row>
    <row r="233">
      <c r="A233" s="234"/>
    </row>
    <row r="234">
      <c r="A234" s="234"/>
    </row>
    <row r="235">
      <c r="A235" s="234"/>
    </row>
    <row r="236">
      <c r="A236" s="234"/>
    </row>
    <row r="237">
      <c r="A237" s="234"/>
    </row>
    <row r="238">
      <c r="A238" s="234"/>
    </row>
    <row r="239">
      <c r="A239" s="234"/>
    </row>
    <row r="240">
      <c r="A240" s="234"/>
    </row>
    <row r="241">
      <c r="A241" s="234"/>
    </row>
    <row r="242">
      <c r="A242" s="234"/>
    </row>
    <row r="243">
      <c r="A243" s="234"/>
    </row>
    <row r="244">
      <c r="A244" s="234"/>
    </row>
    <row r="245">
      <c r="A245" s="234"/>
    </row>
    <row r="246">
      <c r="A246" s="234"/>
    </row>
    <row r="247">
      <c r="A247" s="234"/>
    </row>
    <row r="248">
      <c r="A248" s="234"/>
    </row>
    <row r="249">
      <c r="A249" s="234"/>
    </row>
    <row r="250">
      <c r="A250" s="234"/>
    </row>
    <row r="251">
      <c r="A251" s="234"/>
    </row>
    <row r="252">
      <c r="A252" s="234"/>
    </row>
    <row r="253">
      <c r="A253" s="234"/>
    </row>
    <row r="254">
      <c r="A254" s="234"/>
    </row>
    <row r="255">
      <c r="A255" s="234"/>
    </row>
    <row r="256">
      <c r="A256" s="234"/>
    </row>
    <row r="257">
      <c r="A257" s="234"/>
    </row>
    <row r="258">
      <c r="A258" s="234"/>
    </row>
    <row r="259">
      <c r="A259" s="234"/>
    </row>
    <row r="260">
      <c r="A260" s="234"/>
    </row>
    <row r="261">
      <c r="A261" s="234"/>
    </row>
    <row r="262">
      <c r="A262" s="234"/>
    </row>
    <row r="263">
      <c r="A263" s="234"/>
    </row>
    <row r="264">
      <c r="A264" s="234"/>
    </row>
    <row r="265">
      <c r="A265" s="234"/>
    </row>
    <row r="266">
      <c r="A266" s="234"/>
    </row>
    <row r="267">
      <c r="A267" s="234"/>
    </row>
    <row r="268">
      <c r="A268" s="234"/>
    </row>
    <row r="269">
      <c r="A269" s="234"/>
    </row>
    <row r="270">
      <c r="A270" s="234"/>
    </row>
    <row r="271">
      <c r="A271" s="234"/>
    </row>
    <row r="272">
      <c r="A272" s="234"/>
    </row>
    <row r="273">
      <c r="A273" s="234"/>
    </row>
    <row r="274">
      <c r="A274" s="234"/>
    </row>
    <row r="275">
      <c r="A275" s="234"/>
    </row>
    <row r="276">
      <c r="A276" s="234"/>
    </row>
    <row r="277">
      <c r="A277" s="234"/>
    </row>
    <row r="278">
      <c r="A278" s="234"/>
    </row>
    <row r="279">
      <c r="A279" s="234"/>
    </row>
    <row r="280">
      <c r="A280" s="234"/>
    </row>
    <row r="281">
      <c r="A281" s="234"/>
    </row>
    <row r="282">
      <c r="A282" s="234"/>
    </row>
    <row r="283">
      <c r="A283" s="234"/>
    </row>
    <row r="284">
      <c r="A284" s="234"/>
    </row>
    <row r="285">
      <c r="A285" s="234"/>
    </row>
    <row r="286">
      <c r="A286" s="234"/>
    </row>
    <row r="287">
      <c r="A287" s="234"/>
    </row>
    <row r="288">
      <c r="A288" s="234"/>
    </row>
    <row r="289">
      <c r="A289" s="234"/>
    </row>
    <row r="290">
      <c r="A290" s="234"/>
    </row>
    <row r="291">
      <c r="A291" s="234"/>
    </row>
    <row r="292">
      <c r="A292" s="234"/>
    </row>
    <row r="293">
      <c r="A293" s="234"/>
    </row>
    <row r="294">
      <c r="A294" s="234"/>
    </row>
    <row r="295">
      <c r="A295" s="234"/>
    </row>
    <row r="296">
      <c r="A296" s="234"/>
    </row>
    <row r="297">
      <c r="A297" s="234"/>
    </row>
    <row r="298">
      <c r="A298" s="234"/>
    </row>
    <row r="299">
      <c r="A299" s="234"/>
    </row>
    <row r="300">
      <c r="A300" s="234"/>
    </row>
    <row r="301">
      <c r="A301" s="234"/>
    </row>
    <row r="302">
      <c r="A302" s="234"/>
    </row>
    <row r="303">
      <c r="A303" s="234"/>
    </row>
    <row r="304">
      <c r="A304" s="234"/>
    </row>
    <row r="305">
      <c r="A305" s="234"/>
    </row>
    <row r="306">
      <c r="A306" s="234"/>
    </row>
    <row r="307">
      <c r="A307" s="234"/>
    </row>
    <row r="308">
      <c r="A308" s="234"/>
    </row>
    <row r="309">
      <c r="A309" s="234"/>
    </row>
    <row r="310">
      <c r="A310" s="234"/>
    </row>
    <row r="311">
      <c r="A311" s="234"/>
    </row>
    <row r="312">
      <c r="A312" s="234"/>
    </row>
    <row r="313">
      <c r="A313" s="234"/>
    </row>
    <row r="314">
      <c r="A314" s="234"/>
    </row>
    <row r="315">
      <c r="A315" s="234"/>
    </row>
    <row r="316">
      <c r="A316" s="234"/>
    </row>
    <row r="317">
      <c r="A317" s="234"/>
    </row>
    <row r="318">
      <c r="A318" s="234"/>
    </row>
    <row r="319">
      <c r="A319" s="234"/>
    </row>
    <row r="320">
      <c r="A320" s="234"/>
    </row>
    <row r="321">
      <c r="A321" s="234"/>
    </row>
    <row r="322">
      <c r="A322" s="234"/>
    </row>
    <row r="323">
      <c r="A323" s="234"/>
    </row>
    <row r="324">
      <c r="A324" s="234"/>
    </row>
    <row r="325">
      <c r="A325" s="234"/>
    </row>
    <row r="326">
      <c r="A326" s="234"/>
    </row>
    <row r="327">
      <c r="A327" s="234"/>
    </row>
    <row r="328">
      <c r="A328" s="234"/>
    </row>
    <row r="329">
      <c r="A329" s="234"/>
    </row>
    <row r="330">
      <c r="A330" s="234"/>
    </row>
    <row r="331">
      <c r="A331" s="234"/>
    </row>
    <row r="332">
      <c r="A332" s="234"/>
    </row>
    <row r="333">
      <c r="A333" s="234"/>
    </row>
    <row r="334">
      <c r="A334" s="234"/>
    </row>
    <row r="335">
      <c r="A335" s="234"/>
    </row>
    <row r="336">
      <c r="A336" s="234"/>
    </row>
    <row r="337">
      <c r="A337" s="234"/>
    </row>
    <row r="338">
      <c r="A338" s="234"/>
    </row>
    <row r="339">
      <c r="A339" s="234"/>
    </row>
    <row r="340">
      <c r="A340" s="234"/>
    </row>
    <row r="341">
      <c r="A341" s="234"/>
    </row>
    <row r="342">
      <c r="A342" s="234"/>
    </row>
    <row r="343">
      <c r="A343" s="234"/>
    </row>
    <row r="344">
      <c r="A344" s="234"/>
    </row>
    <row r="345">
      <c r="A345" s="234"/>
    </row>
    <row r="346">
      <c r="A346" s="234"/>
    </row>
    <row r="347">
      <c r="A347" s="234"/>
    </row>
    <row r="348">
      <c r="A348" s="234"/>
    </row>
    <row r="349">
      <c r="A349" s="234"/>
    </row>
    <row r="350">
      <c r="A350" s="234"/>
    </row>
    <row r="351">
      <c r="A351" s="234"/>
    </row>
    <row r="352">
      <c r="A352" s="234"/>
    </row>
    <row r="353">
      <c r="A353" s="234"/>
    </row>
    <row r="354">
      <c r="A354" s="234"/>
    </row>
    <row r="355">
      <c r="A355" s="234"/>
    </row>
    <row r="356">
      <c r="A356" s="234"/>
    </row>
    <row r="357">
      <c r="A357" s="234"/>
    </row>
    <row r="358">
      <c r="A358" s="234"/>
    </row>
    <row r="359">
      <c r="A359" s="234"/>
    </row>
    <row r="360">
      <c r="A360" s="234"/>
    </row>
    <row r="361">
      <c r="A361" s="234"/>
    </row>
    <row r="362">
      <c r="A362" s="234"/>
    </row>
    <row r="363">
      <c r="A363" s="234"/>
    </row>
    <row r="364">
      <c r="A364" s="234"/>
    </row>
    <row r="365">
      <c r="A365" s="234"/>
    </row>
    <row r="366">
      <c r="A366" s="234"/>
    </row>
    <row r="367">
      <c r="A367" s="234"/>
    </row>
    <row r="368">
      <c r="A368" s="234"/>
    </row>
    <row r="369">
      <c r="A369" s="234"/>
    </row>
    <row r="370">
      <c r="A370" s="234"/>
    </row>
    <row r="371">
      <c r="A371" s="234"/>
    </row>
    <row r="372">
      <c r="A372" s="234"/>
    </row>
    <row r="373">
      <c r="A373" s="234"/>
    </row>
    <row r="374">
      <c r="A374" s="234"/>
    </row>
    <row r="375">
      <c r="A375" s="234"/>
    </row>
    <row r="376">
      <c r="A376" s="234"/>
    </row>
    <row r="377">
      <c r="A377" s="234"/>
    </row>
    <row r="378">
      <c r="A378" s="234"/>
    </row>
    <row r="379">
      <c r="A379" s="234"/>
    </row>
    <row r="380">
      <c r="A380" s="234"/>
    </row>
    <row r="381">
      <c r="A381" s="234"/>
    </row>
    <row r="382">
      <c r="A382" s="234"/>
    </row>
    <row r="383">
      <c r="A383" s="234"/>
    </row>
    <row r="384">
      <c r="A384" s="234"/>
    </row>
    <row r="385">
      <c r="A385" s="234"/>
    </row>
    <row r="386">
      <c r="A386" s="234"/>
    </row>
    <row r="387">
      <c r="A387" s="234"/>
    </row>
    <row r="388">
      <c r="A388" s="234"/>
    </row>
    <row r="389">
      <c r="A389" s="234"/>
    </row>
    <row r="390">
      <c r="A390" s="234"/>
    </row>
    <row r="391">
      <c r="A391" s="234"/>
    </row>
    <row r="392">
      <c r="A392" s="234"/>
    </row>
    <row r="393">
      <c r="A393" s="234"/>
    </row>
    <row r="394">
      <c r="A394" s="234"/>
    </row>
    <row r="395">
      <c r="A395" s="234"/>
    </row>
    <row r="396">
      <c r="A396" s="234"/>
    </row>
    <row r="397">
      <c r="A397" s="234"/>
    </row>
    <row r="398">
      <c r="A398" s="234"/>
    </row>
    <row r="399">
      <c r="A399" s="234"/>
    </row>
    <row r="400">
      <c r="A400" s="234"/>
    </row>
    <row r="401">
      <c r="A401" s="234"/>
    </row>
    <row r="402">
      <c r="A402" s="234"/>
    </row>
    <row r="403">
      <c r="A403" s="234"/>
    </row>
    <row r="404">
      <c r="A404" s="234"/>
    </row>
    <row r="405">
      <c r="A405" s="234"/>
    </row>
    <row r="406">
      <c r="A406" s="234"/>
    </row>
    <row r="407">
      <c r="A407" s="234"/>
    </row>
    <row r="408">
      <c r="A408" s="234"/>
    </row>
    <row r="409">
      <c r="A409" s="234"/>
    </row>
    <row r="410">
      <c r="A410" s="234"/>
    </row>
    <row r="411">
      <c r="A411" s="234"/>
    </row>
    <row r="412">
      <c r="A412" s="234"/>
    </row>
    <row r="413">
      <c r="A413" s="234"/>
    </row>
    <row r="414">
      <c r="A414" s="234"/>
    </row>
    <row r="415">
      <c r="A415" s="234"/>
    </row>
    <row r="416">
      <c r="A416" s="234"/>
    </row>
    <row r="417">
      <c r="A417" s="234"/>
    </row>
    <row r="418">
      <c r="A418" s="234"/>
    </row>
    <row r="419">
      <c r="A419" s="234"/>
    </row>
    <row r="420">
      <c r="A420" s="234"/>
    </row>
    <row r="421">
      <c r="A421" s="234"/>
    </row>
    <row r="422">
      <c r="A422" s="234"/>
    </row>
    <row r="423">
      <c r="A423" s="234"/>
    </row>
    <row r="424">
      <c r="A424" s="234"/>
    </row>
    <row r="425">
      <c r="A425" s="234"/>
    </row>
    <row r="426">
      <c r="A426" s="234"/>
    </row>
    <row r="427">
      <c r="A427" s="234"/>
    </row>
    <row r="428">
      <c r="A428" s="234"/>
    </row>
    <row r="429">
      <c r="A429" s="234"/>
    </row>
    <row r="430">
      <c r="A430" s="234"/>
    </row>
    <row r="431">
      <c r="A431" s="234"/>
    </row>
    <row r="432">
      <c r="A432" s="234"/>
    </row>
    <row r="433">
      <c r="A433" s="234"/>
    </row>
    <row r="434">
      <c r="A434" s="234"/>
    </row>
    <row r="435">
      <c r="A435" s="234"/>
    </row>
    <row r="436">
      <c r="A436" s="234"/>
    </row>
    <row r="437">
      <c r="A437" s="234"/>
    </row>
    <row r="438">
      <c r="A438" s="234"/>
    </row>
    <row r="439">
      <c r="A439" s="234"/>
    </row>
    <row r="440">
      <c r="A440" s="234"/>
    </row>
    <row r="441">
      <c r="A441" s="234"/>
    </row>
    <row r="442">
      <c r="A442" s="234"/>
    </row>
    <row r="443">
      <c r="A443" s="234"/>
    </row>
    <row r="444">
      <c r="A444" s="234"/>
    </row>
    <row r="445">
      <c r="A445" s="234"/>
    </row>
    <row r="446">
      <c r="A446" s="234"/>
    </row>
    <row r="447">
      <c r="A447" s="234"/>
    </row>
    <row r="448">
      <c r="A448" s="234"/>
    </row>
    <row r="449">
      <c r="A449" s="234"/>
    </row>
    <row r="450">
      <c r="A450" s="234"/>
    </row>
    <row r="451">
      <c r="A451" s="234"/>
    </row>
    <row r="452">
      <c r="A452" s="234"/>
    </row>
    <row r="453">
      <c r="A453" s="234"/>
    </row>
    <row r="454">
      <c r="A454" s="234"/>
    </row>
    <row r="455">
      <c r="A455" s="234"/>
    </row>
    <row r="456">
      <c r="A456" s="234"/>
    </row>
    <row r="457">
      <c r="A457" s="234"/>
    </row>
    <row r="458">
      <c r="A458" s="234"/>
    </row>
    <row r="459">
      <c r="A459" s="234"/>
    </row>
    <row r="460">
      <c r="A460" s="234"/>
    </row>
    <row r="461">
      <c r="A461" s="234"/>
    </row>
    <row r="462">
      <c r="A462" s="234"/>
    </row>
    <row r="463">
      <c r="A463" s="234"/>
    </row>
    <row r="464">
      <c r="A464" s="234"/>
    </row>
    <row r="465">
      <c r="A465" s="234"/>
    </row>
    <row r="466">
      <c r="A466" s="234"/>
    </row>
    <row r="467">
      <c r="A467" s="234"/>
    </row>
    <row r="468">
      <c r="A468" s="234"/>
    </row>
    <row r="469">
      <c r="A469" s="234"/>
    </row>
    <row r="470">
      <c r="A470" s="234"/>
    </row>
    <row r="471">
      <c r="A471" s="234"/>
    </row>
    <row r="472">
      <c r="A472" s="234"/>
    </row>
    <row r="473">
      <c r="A473" s="234"/>
    </row>
    <row r="474">
      <c r="A474" s="234"/>
    </row>
    <row r="475">
      <c r="A475" s="234"/>
    </row>
    <row r="476">
      <c r="A476" s="234"/>
    </row>
    <row r="477">
      <c r="A477" s="234"/>
    </row>
    <row r="478">
      <c r="A478" s="234"/>
    </row>
    <row r="479">
      <c r="A479" s="234"/>
    </row>
    <row r="480">
      <c r="A480" s="234"/>
    </row>
    <row r="481">
      <c r="A481" s="234"/>
    </row>
    <row r="482">
      <c r="A482" s="234"/>
    </row>
    <row r="483">
      <c r="A483" s="234"/>
    </row>
    <row r="484">
      <c r="A484" s="234"/>
    </row>
    <row r="485">
      <c r="A485" s="234"/>
    </row>
    <row r="486">
      <c r="A486" s="234"/>
    </row>
    <row r="487">
      <c r="A487" s="234"/>
    </row>
    <row r="488">
      <c r="A488" s="234"/>
    </row>
    <row r="489">
      <c r="A489" s="234"/>
    </row>
    <row r="490">
      <c r="A490" s="234"/>
    </row>
    <row r="491">
      <c r="A491" s="234"/>
    </row>
    <row r="492">
      <c r="A492" s="234"/>
    </row>
    <row r="493">
      <c r="A493" s="234"/>
    </row>
    <row r="494">
      <c r="A494" s="234"/>
    </row>
    <row r="495">
      <c r="A495" s="234"/>
    </row>
    <row r="496">
      <c r="A496" s="234"/>
    </row>
    <row r="497">
      <c r="A497" s="234"/>
    </row>
    <row r="498">
      <c r="A498" s="234"/>
    </row>
    <row r="499">
      <c r="A499" s="234"/>
    </row>
    <row r="500">
      <c r="A500" s="234"/>
    </row>
    <row r="501">
      <c r="A501" s="234"/>
    </row>
    <row r="502">
      <c r="A502" s="234"/>
    </row>
    <row r="503">
      <c r="A503" s="234"/>
    </row>
    <row r="504">
      <c r="A504" s="234"/>
    </row>
    <row r="505">
      <c r="A505" s="234"/>
    </row>
    <row r="506">
      <c r="A506" s="234"/>
    </row>
    <row r="507">
      <c r="A507" s="234"/>
    </row>
    <row r="508">
      <c r="A508" s="234"/>
    </row>
    <row r="509">
      <c r="A509" s="234"/>
    </row>
    <row r="510">
      <c r="A510" s="234"/>
    </row>
    <row r="511">
      <c r="A511" s="234"/>
    </row>
    <row r="512">
      <c r="A512" s="234"/>
    </row>
    <row r="513">
      <c r="A513" s="234"/>
    </row>
    <row r="514">
      <c r="A514" s="234"/>
    </row>
    <row r="515">
      <c r="A515" s="234"/>
    </row>
    <row r="516">
      <c r="A516" s="234"/>
    </row>
    <row r="517">
      <c r="A517" s="234"/>
    </row>
    <row r="518">
      <c r="A518" s="234"/>
    </row>
    <row r="519">
      <c r="A519" s="234"/>
    </row>
    <row r="520">
      <c r="A520" s="234"/>
    </row>
    <row r="521">
      <c r="A521" s="234"/>
    </row>
    <row r="522">
      <c r="A522" s="234"/>
    </row>
    <row r="523">
      <c r="A523" s="234"/>
    </row>
    <row r="524">
      <c r="A524" s="234"/>
    </row>
    <row r="525">
      <c r="A525" s="234"/>
    </row>
    <row r="526">
      <c r="A526" s="234"/>
    </row>
    <row r="527">
      <c r="A527" s="234"/>
    </row>
    <row r="528">
      <c r="A528" s="234"/>
    </row>
    <row r="529">
      <c r="A529" s="234"/>
    </row>
    <row r="530">
      <c r="A530" s="234"/>
    </row>
    <row r="531">
      <c r="A531" s="234"/>
    </row>
    <row r="532">
      <c r="A532" s="234"/>
    </row>
    <row r="533">
      <c r="A533" s="234"/>
    </row>
    <row r="534">
      <c r="A534" s="234"/>
    </row>
    <row r="535">
      <c r="A535" s="234"/>
    </row>
    <row r="536">
      <c r="A536" s="234"/>
    </row>
    <row r="537">
      <c r="A537" s="234"/>
    </row>
    <row r="538">
      <c r="A538" s="234"/>
    </row>
    <row r="539">
      <c r="A539" s="234"/>
    </row>
    <row r="540">
      <c r="A540" s="234"/>
    </row>
    <row r="541">
      <c r="A541" s="234"/>
    </row>
    <row r="542">
      <c r="A542" s="234"/>
    </row>
    <row r="543">
      <c r="A543" s="234"/>
    </row>
    <row r="544">
      <c r="A544" s="234"/>
    </row>
    <row r="545">
      <c r="A545" s="234"/>
    </row>
    <row r="546">
      <c r="A546" s="234"/>
    </row>
    <row r="547">
      <c r="A547" s="234"/>
    </row>
    <row r="548">
      <c r="A548" s="234"/>
    </row>
    <row r="549">
      <c r="A549" s="234"/>
    </row>
    <row r="550">
      <c r="A550" s="234"/>
    </row>
    <row r="551">
      <c r="A551" s="234"/>
    </row>
    <row r="552">
      <c r="A552" s="234"/>
    </row>
    <row r="553">
      <c r="A553" s="234"/>
    </row>
    <row r="554">
      <c r="A554" s="234"/>
    </row>
    <row r="555">
      <c r="A555" s="234"/>
    </row>
    <row r="556">
      <c r="A556" s="234"/>
    </row>
    <row r="557">
      <c r="A557" s="234"/>
    </row>
    <row r="558">
      <c r="A558" s="234"/>
    </row>
    <row r="559">
      <c r="A559" s="234"/>
    </row>
    <row r="560">
      <c r="A560" s="234"/>
    </row>
    <row r="561">
      <c r="A561" s="234"/>
    </row>
    <row r="562">
      <c r="A562" s="234"/>
    </row>
    <row r="563">
      <c r="A563" s="234"/>
    </row>
    <row r="564">
      <c r="A564" s="234"/>
    </row>
    <row r="565">
      <c r="A565" s="234"/>
    </row>
    <row r="566">
      <c r="A566" s="234"/>
    </row>
    <row r="567">
      <c r="A567" s="234"/>
    </row>
    <row r="568">
      <c r="A568" s="234"/>
    </row>
    <row r="569">
      <c r="A569" s="234"/>
    </row>
    <row r="570">
      <c r="A570" s="234"/>
    </row>
    <row r="571">
      <c r="A571" s="234"/>
    </row>
    <row r="572">
      <c r="A572" s="234"/>
    </row>
    <row r="573">
      <c r="A573" s="234"/>
    </row>
    <row r="574">
      <c r="A574" s="234"/>
    </row>
    <row r="575">
      <c r="A575" s="234"/>
    </row>
    <row r="576">
      <c r="A576" s="234"/>
    </row>
    <row r="577">
      <c r="A577" s="234"/>
    </row>
    <row r="578">
      <c r="A578" s="234"/>
    </row>
    <row r="579">
      <c r="A579" s="234"/>
    </row>
    <row r="580">
      <c r="A580" s="234"/>
    </row>
    <row r="581">
      <c r="A581" s="234"/>
    </row>
    <row r="582">
      <c r="A582" s="234"/>
    </row>
    <row r="583">
      <c r="A583" s="234"/>
    </row>
    <row r="584">
      <c r="A584" s="234"/>
    </row>
    <row r="585">
      <c r="A585" s="234"/>
    </row>
    <row r="586">
      <c r="A586" s="234"/>
    </row>
    <row r="587">
      <c r="A587" s="234"/>
    </row>
    <row r="588">
      <c r="A588" s="234"/>
    </row>
    <row r="589">
      <c r="A589" s="234"/>
    </row>
    <row r="590">
      <c r="A590" s="234"/>
    </row>
    <row r="591">
      <c r="A591" s="234"/>
    </row>
    <row r="592">
      <c r="A592" s="234"/>
    </row>
    <row r="593">
      <c r="A593" s="234"/>
    </row>
    <row r="594">
      <c r="A594" s="234"/>
    </row>
    <row r="595">
      <c r="A595" s="234"/>
    </row>
    <row r="596">
      <c r="A596" s="234"/>
    </row>
    <row r="597">
      <c r="A597" s="234"/>
    </row>
    <row r="598">
      <c r="A598" s="234"/>
    </row>
    <row r="599">
      <c r="A599" s="234"/>
    </row>
    <row r="600">
      <c r="A600" s="234"/>
    </row>
    <row r="601">
      <c r="A601" s="234"/>
    </row>
    <row r="602">
      <c r="A602" s="234"/>
    </row>
    <row r="603">
      <c r="A603" s="234"/>
    </row>
    <row r="604">
      <c r="A604" s="234"/>
    </row>
    <row r="605">
      <c r="A605" s="234"/>
    </row>
    <row r="606">
      <c r="A606" s="234"/>
    </row>
    <row r="607">
      <c r="A607" s="234"/>
    </row>
    <row r="608">
      <c r="A608" s="234"/>
    </row>
    <row r="609">
      <c r="A609" s="234"/>
    </row>
    <row r="610">
      <c r="A610" s="234"/>
    </row>
    <row r="611">
      <c r="A611" s="234"/>
    </row>
    <row r="612">
      <c r="A612" s="234"/>
    </row>
    <row r="613">
      <c r="A613" s="234"/>
    </row>
    <row r="614">
      <c r="A614" s="234"/>
    </row>
    <row r="615">
      <c r="A615" s="234"/>
    </row>
    <row r="616">
      <c r="A616" s="234"/>
    </row>
    <row r="617">
      <c r="A617" s="234"/>
    </row>
    <row r="618">
      <c r="A618" s="234"/>
    </row>
    <row r="619">
      <c r="A619" s="234"/>
    </row>
    <row r="620">
      <c r="A620" s="234"/>
    </row>
    <row r="621">
      <c r="A621" s="234"/>
    </row>
    <row r="622">
      <c r="A622" s="234"/>
    </row>
    <row r="623">
      <c r="A623" s="234"/>
    </row>
    <row r="624">
      <c r="A624" s="234"/>
    </row>
    <row r="625">
      <c r="A625" s="234"/>
    </row>
    <row r="626">
      <c r="A626" s="234"/>
    </row>
    <row r="627">
      <c r="A627" s="234"/>
    </row>
    <row r="628">
      <c r="A628" s="234"/>
    </row>
    <row r="629">
      <c r="A629" s="234"/>
    </row>
    <row r="630">
      <c r="A630" s="234"/>
    </row>
    <row r="631">
      <c r="A631" s="234"/>
    </row>
    <row r="632">
      <c r="A632" s="234"/>
    </row>
    <row r="633">
      <c r="A633" s="234"/>
    </row>
    <row r="634">
      <c r="A634" s="234"/>
    </row>
    <row r="635">
      <c r="A635" s="234"/>
    </row>
    <row r="636">
      <c r="A636" s="234"/>
    </row>
    <row r="637">
      <c r="A637" s="234"/>
    </row>
    <row r="638">
      <c r="A638" s="234"/>
    </row>
    <row r="639">
      <c r="A639" s="234"/>
    </row>
    <row r="640">
      <c r="A640" s="234"/>
    </row>
    <row r="641">
      <c r="A641" s="234"/>
    </row>
    <row r="642">
      <c r="A642" s="234"/>
    </row>
    <row r="643">
      <c r="A643" s="234"/>
    </row>
    <row r="644">
      <c r="A644" s="234"/>
    </row>
    <row r="645">
      <c r="A645" s="234"/>
    </row>
    <row r="646">
      <c r="A646" s="234"/>
    </row>
    <row r="647">
      <c r="A647" s="234"/>
    </row>
    <row r="648">
      <c r="A648" s="234"/>
    </row>
    <row r="649">
      <c r="A649" s="234"/>
    </row>
    <row r="650">
      <c r="A650" s="234"/>
    </row>
    <row r="651">
      <c r="A651" s="234"/>
    </row>
    <row r="652">
      <c r="A652" s="234"/>
    </row>
    <row r="653">
      <c r="A653" s="234"/>
    </row>
    <row r="654">
      <c r="A654" s="234"/>
    </row>
    <row r="655">
      <c r="A655" s="234"/>
    </row>
    <row r="656">
      <c r="A656" s="234"/>
    </row>
    <row r="657">
      <c r="A657" s="234"/>
    </row>
    <row r="658">
      <c r="A658" s="234"/>
    </row>
    <row r="659">
      <c r="A659" s="234"/>
    </row>
    <row r="660">
      <c r="A660" s="234"/>
    </row>
    <row r="661">
      <c r="A661" s="234"/>
    </row>
    <row r="662">
      <c r="A662" s="234"/>
    </row>
    <row r="663">
      <c r="A663" s="234"/>
    </row>
    <row r="664">
      <c r="A664" s="234"/>
    </row>
    <row r="665">
      <c r="A665" s="234"/>
    </row>
    <row r="666">
      <c r="A666" s="234"/>
    </row>
    <row r="667">
      <c r="A667" s="234"/>
    </row>
    <row r="668">
      <c r="A668" s="234"/>
    </row>
    <row r="669">
      <c r="A669" s="234"/>
    </row>
    <row r="670">
      <c r="A670" s="234"/>
    </row>
    <row r="671">
      <c r="A671" s="234"/>
    </row>
    <row r="672">
      <c r="A672" s="234"/>
    </row>
    <row r="673">
      <c r="A673" s="234"/>
    </row>
    <row r="674">
      <c r="A674" s="234"/>
    </row>
    <row r="675">
      <c r="A675" s="234"/>
    </row>
    <row r="676">
      <c r="A676" s="234"/>
    </row>
    <row r="677">
      <c r="A677" s="234"/>
    </row>
    <row r="678">
      <c r="A678" s="234"/>
    </row>
    <row r="679">
      <c r="A679" s="234"/>
    </row>
    <row r="680">
      <c r="A680" s="234"/>
    </row>
    <row r="681">
      <c r="A681" s="234"/>
    </row>
    <row r="682">
      <c r="A682" s="234"/>
    </row>
    <row r="683">
      <c r="A683" s="234"/>
    </row>
    <row r="684">
      <c r="A684" s="234"/>
    </row>
    <row r="685">
      <c r="A685" s="234"/>
    </row>
    <row r="686">
      <c r="A686" s="234"/>
    </row>
    <row r="687">
      <c r="A687" s="234"/>
    </row>
    <row r="688">
      <c r="A688" s="234"/>
    </row>
    <row r="689">
      <c r="A689" s="234"/>
    </row>
    <row r="690">
      <c r="A690" s="234"/>
    </row>
    <row r="691">
      <c r="A691" s="234"/>
    </row>
    <row r="692">
      <c r="A692" s="234"/>
    </row>
    <row r="693">
      <c r="A693" s="234"/>
    </row>
    <row r="694">
      <c r="A694" s="234"/>
    </row>
    <row r="695">
      <c r="A695" s="234"/>
    </row>
    <row r="696">
      <c r="A696" s="234"/>
    </row>
    <row r="697">
      <c r="A697" s="234"/>
    </row>
    <row r="698">
      <c r="A698" s="234"/>
    </row>
    <row r="699">
      <c r="A699" s="234"/>
    </row>
    <row r="700">
      <c r="A700" s="234"/>
    </row>
    <row r="701">
      <c r="A701" s="234"/>
    </row>
    <row r="702">
      <c r="A702" s="234"/>
    </row>
    <row r="703">
      <c r="A703" s="234"/>
    </row>
    <row r="704">
      <c r="A704" s="234"/>
    </row>
    <row r="705">
      <c r="A705" s="234"/>
    </row>
    <row r="706">
      <c r="A706" s="234"/>
    </row>
    <row r="707">
      <c r="A707" s="234"/>
    </row>
    <row r="708">
      <c r="A708" s="234"/>
    </row>
    <row r="709">
      <c r="A709" s="234"/>
    </row>
    <row r="710">
      <c r="A710" s="234"/>
    </row>
    <row r="711">
      <c r="A711" s="234"/>
    </row>
    <row r="712">
      <c r="A712" s="234"/>
    </row>
    <row r="713">
      <c r="A713" s="234"/>
    </row>
    <row r="714">
      <c r="A714" s="234"/>
    </row>
    <row r="715">
      <c r="A715" s="234"/>
    </row>
    <row r="716">
      <c r="A716" s="234"/>
    </row>
    <row r="717">
      <c r="A717" s="234"/>
    </row>
    <row r="718">
      <c r="A718" s="234"/>
    </row>
    <row r="719">
      <c r="A719" s="234"/>
    </row>
    <row r="720">
      <c r="A720" s="234"/>
    </row>
    <row r="721">
      <c r="A721" s="234"/>
    </row>
    <row r="722">
      <c r="A722" s="234"/>
    </row>
    <row r="723">
      <c r="A723" s="234"/>
    </row>
    <row r="724">
      <c r="A724" s="234"/>
    </row>
    <row r="725">
      <c r="A725" s="234"/>
    </row>
    <row r="726">
      <c r="A726" s="234"/>
    </row>
    <row r="727">
      <c r="A727" s="234"/>
    </row>
    <row r="728">
      <c r="A728" s="234"/>
    </row>
    <row r="729">
      <c r="A729" s="234"/>
    </row>
    <row r="730">
      <c r="A730" s="234"/>
    </row>
    <row r="731">
      <c r="A731" s="234"/>
    </row>
    <row r="732">
      <c r="A732" s="234"/>
    </row>
    <row r="733">
      <c r="A733" s="234"/>
    </row>
    <row r="734">
      <c r="A734" s="234"/>
    </row>
    <row r="735">
      <c r="A735" s="234"/>
    </row>
    <row r="736">
      <c r="A736" s="234"/>
    </row>
    <row r="737">
      <c r="A737" s="234"/>
    </row>
    <row r="738">
      <c r="A738" s="234"/>
    </row>
    <row r="739">
      <c r="A739" s="234"/>
    </row>
    <row r="740">
      <c r="A740" s="234"/>
    </row>
    <row r="741">
      <c r="A741" s="234"/>
    </row>
    <row r="742">
      <c r="A742" s="234"/>
    </row>
    <row r="743">
      <c r="A743" s="234"/>
    </row>
    <row r="744">
      <c r="A744" s="234"/>
    </row>
    <row r="745">
      <c r="A745" s="234"/>
    </row>
    <row r="746">
      <c r="A746" s="234"/>
    </row>
    <row r="747">
      <c r="A747" s="234"/>
    </row>
    <row r="748">
      <c r="A748" s="234"/>
    </row>
    <row r="749">
      <c r="A749" s="234"/>
    </row>
    <row r="750">
      <c r="A750" s="234"/>
    </row>
    <row r="751">
      <c r="A751" s="234"/>
    </row>
    <row r="752">
      <c r="A752" s="234"/>
    </row>
    <row r="753">
      <c r="A753" s="234"/>
    </row>
    <row r="754">
      <c r="A754" s="234"/>
    </row>
    <row r="755">
      <c r="A755" s="234"/>
    </row>
    <row r="756">
      <c r="A756" s="234"/>
    </row>
    <row r="757">
      <c r="A757" s="234"/>
    </row>
    <row r="758">
      <c r="A758" s="234"/>
    </row>
    <row r="759">
      <c r="A759" s="234"/>
    </row>
    <row r="760">
      <c r="A760" s="234"/>
    </row>
    <row r="761">
      <c r="A761" s="234"/>
    </row>
    <row r="762">
      <c r="A762" s="234"/>
    </row>
    <row r="763">
      <c r="A763" s="234"/>
    </row>
    <row r="764">
      <c r="A764" s="234"/>
    </row>
    <row r="765">
      <c r="A765" s="234"/>
    </row>
    <row r="766">
      <c r="A766" s="234"/>
    </row>
    <row r="767">
      <c r="A767" s="234"/>
    </row>
    <row r="768">
      <c r="A768" s="234"/>
    </row>
    <row r="769">
      <c r="A769" s="234"/>
    </row>
    <row r="770">
      <c r="A770" s="234"/>
    </row>
    <row r="771">
      <c r="A771" s="234"/>
    </row>
    <row r="772">
      <c r="A772" s="234"/>
    </row>
    <row r="773">
      <c r="A773" s="234"/>
    </row>
    <row r="774">
      <c r="A774" s="234"/>
    </row>
    <row r="775">
      <c r="A775" s="234"/>
    </row>
    <row r="776">
      <c r="A776" s="234"/>
    </row>
    <row r="777">
      <c r="A777" s="234"/>
    </row>
    <row r="778">
      <c r="A778" s="234"/>
    </row>
    <row r="779">
      <c r="A779" s="234"/>
    </row>
    <row r="780">
      <c r="A780" s="234"/>
    </row>
    <row r="781">
      <c r="A781" s="234"/>
    </row>
    <row r="782">
      <c r="A782" s="234"/>
    </row>
    <row r="783">
      <c r="A783" s="234"/>
    </row>
    <row r="784">
      <c r="A784" s="234"/>
    </row>
    <row r="785">
      <c r="A785" s="234"/>
    </row>
    <row r="786">
      <c r="A786" s="234"/>
    </row>
    <row r="787">
      <c r="A787" s="234"/>
    </row>
    <row r="788">
      <c r="A788" s="234"/>
    </row>
    <row r="789">
      <c r="A789" s="234"/>
    </row>
    <row r="790">
      <c r="A790" s="234"/>
    </row>
    <row r="791">
      <c r="A791" s="234"/>
    </row>
    <row r="792">
      <c r="A792" s="234"/>
    </row>
    <row r="793">
      <c r="A793" s="234"/>
    </row>
    <row r="794">
      <c r="A794" s="234"/>
    </row>
    <row r="795">
      <c r="A795" s="234"/>
    </row>
    <row r="796">
      <c r="A796" s="234"/>
    </row>
    <row r="797">
      <c r="A797" s="234"/>
    </row>
    <row r="798">
      <c r="A798" s="234"/>
    </row>
    <row r="799">
      <c r="A799" s="234"/>
    </row>
    <row r="800">
      <c r="A800" s="234"/>
    </row>
    <row r="801">
      <c r="A801" s="234"/>
    </row>
    <row r="802">
      <c r="A802" s="234"/>
    </row>
    <row r="803">
      <c r="A803" s="234"/>
    </row>
    <row r="804">
      <c r="A804" s="234"/>
    </row>
    <row r="805">
      <c r="A805" s="234"/>
    </row>
    <row r="806">
      <c r="A806" s="234"/>
    </row>
    <row r="807">
      <c r="A807" s="234"/>
    </row>
    <row r="808">
      <c r="A808" s="234"/>
    </row>
    <row r="809">
      <c r="A809" s="234"/>
    </row>
    <row r="810">
      <c r="A810" s="234"/>
    </row>
    <row r="811">
      <c r="A811" s="234"/>
    </row>
    <row r="812">
      <c r="A812" s="234"/>
    </row>
    <row r="813">
      <c r="A813" s="234"/>
    </row>
    <row r="814">
      <c r="A814" s="234"/>
    </row>
    <row r="815">
      <c r="A815" s="234"/>
    </row>
    <row r="816">
      <c r="A816" s="234"/>
    </row>
    <row r="817">
      <c r="A817" s="234"/>
    </row>
    <row r="818">
      <c r="A818" s="234"/>
    </row>
    <row r="819">
      <c r="A819" s="234"/>
    </row>
    <row r="820">
      <c r="A820" s="234"/>
    </row>
    <row r="821">
      <c r="A821" s="234"/>
    </row>
    <row r="822">
      <c r="A822" s="234"/>
    </row>
    <row r="823">
      <c r="A823" s="234"/>
    </row>
    <row r="824">
      <c r="A824" s="234"/>
    </row>
    <row r="825">
      <c r="A825" s="234"/>
    </row>
    <row r="826">
      <c r="A826" s="234"/>
    </row>
    <row r="827">
      <c r="A827" s="234"/>
    </row>
    <row r="828">
      <c r="A828" s="234"/>
    </row>
    <row r="829">
      <c r="A829" s="234"/>
    </row>
    <row r="830">
      <c r="A830" s="234"/>
    </row>
    <row r="831">
      <c r="A831" s="234"/>
    </row>
    <row r="832">
      <c r="A832" s="234"/>
    </row>
    <row r="833">
      <c r="A833" s="234"/>
    </row>
    <row r="834">
      <c r="A834" s="234"/>
    </row>
    <row r="835">
      <c r="A835" s="234"/>
    </row>
    <row r="836">
      <c r="A836" s="234"/>
    </row>
    <row r="837">
      <c r="A837" s="234"/>
    </row>
    <row r="838">
      <c r="A838" s="234"/>
    </row>
    <row r="839">
      <c r="A839" s="234"/>
    </row>
    <row r="840">
      <c r="A840" s="234"/>
    </row>
    <row r="841">
      <c r="A841" s="234"/>
    </row>
    <row r="842">
      <c r="A842" s="234"/>
    </row>
    <row r="843">
      <c r="A843" s="234"/>
    </row>
    <row r="844">
      <c r="A844" s="234"/>
    </row>
    <row r="845">
      <c r="A845" s="234"/>
    </row>
    <row r="846">
      <c r="A846" s="234"/>
    </row>
    <row r="847">
      <c r="A847" s="234"/>
    </row>
    <row r="848">
      <c r="A848" s="234"/>
    </row>
    <row r="849">
      <c r="A849" s="234"/>
    </row>
    <row r="850">
      <c r="A850" s="234"/>
    </row>
    <row r="851">
      <c r="A851" s="234"/>
    </row>
    <row r="852">
      <c r="A852" s="234"/>
    </row>
    <row r="853">
      <c r="A853" s="234"/>
    </row>
    <row r="854">
      <c r="A854" s="234"/>
    </row>
    <row r="855">
      <c r="A855" s="234"/>
    </row>
    <row r="856">
      <c r="A856" s="234"/>
    </row>
    <row r="857">
      <c r="A857" s="234"/>
    </row>
    <row r="858">
      <c r="A858" s="234"/>
    </row>
    <row r="859">
      <c r="A859" s="234"/>
    </row>
    <row r="860">
      <c r="A860" s="234"/>
    </row>
    <row r="861">
      <c r="A861" s="234"/>
    </row>
    <row r="862">
      <c r="A862" s="234"/>
    </row>
    <row r="863">
      <c r="A863" s="234"/>
    </row>
    <row r="864">
      <c r="A864" s="234"/>
    </row>
    <row r="865">
      <c r="A865" s="234"/>
    </row>
    <row r="866">
      <c r="A866" s="234"/>
    </row>
    <row r="867">
      <c r="A867" s="234"/>
    </row>
    <row r="868">
      <c r="A868" s="234"/>
    </row>
    <row r="869">
      <c r="A869" s="234"/>
    </row>
    <row r="870">
      <c r="A870" s="234"/>
    </row>
    <row r="871">
      <c r="A871" s="234"/>
    </row>
    <row r="872">
      <c r="A872" s="234"/>
    </row>
    <row r="873">
      <c r="A873" s="234"/>
    </row>
    <row r="874">
      <c r="A874" s="234"/>
    </row>
    <row r="875">
      <c r="A875" s="234"/>
    </row>
    <row r="876">
      <c r="A876" s="234"/>
    </row>
    <row r="877">
      <c r="A877" s="234"/>
    </row>
    <row r="878">
      <c r="A878" s="234"/>
    </row>
    <row r="879">
      <c r="A879" s="234"/>
    </row>
    <row r="880">
      <c r="A880" s="234"/>
    </row>
    <row r="881">
      <c r="A881" s="234"/>
    </row>
    <row r="882">
      <c r="A882" s="234"/>
    </row>
    <row r="883">
      <c r="A883" s="234"/>
    </row>
    <row r="884">
      <c r="A884" s="234"/>
    </row>
    <row r="885">
      <c r="A885" s="234"/>
    </row>
    <row r="886">
      <c r="A886" s="234"/>
    </row>
    <row r="887">
      <c r="A887" s="234"/>
    </row>
    <row r="888">
      <c r="A888" s="234"/>
    </row>
    <row r="889">
      <c r="A889" s="234"/>
    </row>
    <row r="890">
      <c r="A890" s="234"/>
    </row>
    <row r="891">
      <c r="A891" s="234"/>
    </row>
    <row r="892">
      <c r="A892" s="234"/>
    </row>
    <row r="893">
      <c r="A893" s="234"/>
    </row>
    <row r="894">
      <c r="A894" s="234"/>
    </row>
    <row r="895">
      <c r="A895" s="234"/>
    </row>
    <row r="896">
      <c r="A896" s="234"/>
    </row>
    <row r="897">
      <c r="A897" s="234"/>
    </row>
    <row r="898">
      <c r="A898" s="234"/>
    </row>
    <row r="899">
      <c r="A899" s="234"/>
    </row>
    <row r="900">
      <c r="A900" s="234"/>
    </row>
    <row r="901">
      <c r="A901" s="234"/>
    </row>
    <row r="902">
      <c r="A902" s="234"/>
    </row>
    <row r="903">
      <c r="A903" s="234"/>
    </row>
    <row r="904">
      <c r="A904" s="234"/>
    </row>
    <row r="905">
      <c r="A905" s="234"/>
    </row>
    <row r="906">
      <c r="A906" s="234"/>
    </row>
    <row r="907">
      <c r="A907" s="234"/>
    </row>
    <row r="908">
      <c r="A908" s="234"/>
    </row>
    <row r="909">
      <c r="A909" s="234"/>
    </row>
    <row r="910">
      <c r="A910" s="234"/>
    </row>
    <row r="911">
      <c r="A911" s="234"/>
    </row>
    <row r="912">
      <c r="A912" s="234"/>
    </row>
    <row r="913">
      <c r="A913" s="234"/>
    </row>
    <row r="914">
      <c r="A914" s="234"/>
    </row>
    <row r="915">
      <c r="A915" s="234"/>
    </row>
    <row r="916">
      <c r="A916" s="234"/>
    </row>
    <row r="917">
      <c r="A917" s="234"/>
    </row>
    <row r="918">
      <c r="A918" s="234"/>
    </row>
    <row r="919">
      <c r="A919" s="234"/>
    </row>
    <row r="920">
      <c r="A920" s="234"/>
    </row>
    <row r="921">
      <c r="A921" s="234"/>
    </row>
    <row r="922">
      <c r="A922" s="234"/>
    </row>
    <row r="923">
      <c r="A923" s="234"/>
    </row>
    <row r="924">
      <c r="A924" s="234"/>
    </row>
    <row r="925">
      <c r="A925" s="234"/>
    </row>
    <row r="926">
      <c r="A926" s="234"/>
    </row>
    <row r="927">
      <c r="A927" s="234"/>
    </row>
    <row r="928">
      <c r="A928" s="234"/>
    </row>
    <row r="929">
      <c r="A929" s="234"/>
    </row>
    <row r="930">
      <c r="A930" s="234"/>
    </row>
    <row r="931">
      <c r="A931" s="234"/>
    </row>
    <row r="932">
      <c r="A932" s="234"/>
    </row>
    <row r="933">
      <c r="A933" s="234"/>
    </row>
    <row r="934">
      <c r="A934" s="234"/>
    </row>
    <row r="935">
      <c r="A935" s="234"/>
    </row>
    <row r="936">
      <c r="A936" s="234"/>
    </row>
    <row r="937">
      <c r="A937" s="234"/>
    </row>
    <row r="938">
      <c r="A938" s="234"/>
    </row>
    <row r="939">
      <c r="A939" s="234"/>
    </row>
    <row r="940">
      <c r="A940" s="234"/>
    </row>
    <row r="941">
      <c r="A941" s="234"/>
    </row>
    <row r="942">
      <c r="A942" s="234"/>
    </row>
    <row r="943">
      <c r="A943" s="234"/>
    </row>
    <row r="944">
      <c r="A944" s="234"/>
    </row>
    <row r="945">
      <c r="A945" s="234"/>
    </row>
    <row r="946">
      <c r="A946" s="234"/>
    </row>
    <row r="947">
      <c r="A947" s="234"/>
    </row>
    <row r="948">
      <c r="A948" s="234"/>
    </row>
    <row r="949">
      <c r="A949" s="234"/>
    </row>
    <row r="950">
      <c r="A950" s="234"/>
    </row>
    <row r="951">
      <c r="A951" s="234"/>
    </row>
    <row r="952">
      <c r="A952" s="234"/>
    </row>
    <row r="953">
      <c r="A953" s="234"/>
    </row>
    <row r="954">
      <c r="A954" s="234"/>
    </row>
    <row r="955">
      <c r="A955" s="234"/>
    </row>
    <row r="956">
      <c r="A956" s="234"/>
    </row>
    <row r="957">
      <c r="A957" s="234"/>
    </row>
    <row r="958">
      <c r="A958" s="234"/>
    </row>
    <row r="959">
      <c r="A959" s="234"/>
    </row>
    <row r="960">
      <c r="A960" s="234"/>
    </row>
    <row r="961">
      <c r="A961" s="234"/>
    </row>
    <row r="962">
      <c r="A962" s="234"/>
    </row>
    <row r="963">
      <c r="A963" s="234"/>
    </row>
    <row r="964">
      <c r="A964" s="234"/>
    </row>
    <row r="965">
      <c r="A965" s="234"/>
    </row>
    <row r="966">
      <c r="A966" s="234"/>
    </row>
    <row r="967">
      <c r="A967" s="234"/>
    </row>
    <row r="968">
      <c r="A968" s="234"/>
    </row>
    <row r="969">
      <c r="A969" s="234"/>
    </row>
    <row r="970">
      <c r="A970" s="234"/>
    </row>
    <row r="971">
      <c r="A971" s="234"/>
    </row>
    <row r="972">
      <c r="A972" s="234"/>
    </row>
    <row r="973">
      <c r="A973" s="234"/>
    </row>
    <row r="974">
      <c r="A974" s="234"/>
    </row>
    <row r="975">
      <c r="A975" s="234"/>
    </row>
    <row r="976">
      <c r="A976" s="234"/>
    </row>
    <row r="977">
      <c r="A977" s="234"/>
    </row>
    <row r="978">
      <c r="A978" s="234"/>
    </row>
    <row r="979">
      <c r="A979" s="234"/>
    </row>
    <row r="980">
      <c r="A980" s="234"/>
    </row>
    <row r="981">
      <c r="A981" s="234"/>
    </row>
    <row r="982">
      <c r="A982" s="234"/>
    </row>
    <row r="983">
      <c r="A983" s="234"/>
    </row>
    <row r="984">
      <c r="A984" s="234"/>
    </row>
    <row r="985">
      <c r="A985" s="234"/>
    </row>
    <row r="986">
      <c r="A986" s="234"/>
    </row>
    <row r="987">
      <c r="A987" s="234"/>
    </row>
    <row r="988">
      <c r="A988" s="234"/>
    </row>
    <row r="989">
      <c r="A989" s="234"/>
    </row>
    <row r="990">
      <c r="A990" s="234"/>
    </row>
    <row r="991">
      <c r="A991" s="234"/>
    </row>
    <row r="992">
      <c r="A992" s="234"/>
    </row>
    <row r="993">
      <c r="A993" s="234"/>
    </row>
    <row r="994">
      <c r="A994" s="234"/>
    </row>
    <row r="995">
      <c r="A995" s="234"/>
    </row>
    <row r="996">
      <c r="A996" s="234"/>
    </row>
    <row r="997">
      <c r="A997" s="234"/>
    </row>
    <row r="998">
      <c r="A998" s="234"/>
    </row>
    <row r="999">
      <c r="A999" s="234"/>
    </row>
    <row r="1000">
      <c r="A1000" s="234"/>
    </row>
  </sheetData>
  <mergeCells count="1">
    <mergeCell ref="C10:E10"/>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2022-07-07T11:34:57Z</dcterms:created>
  <dc:creator>Nicola Terry;Jason Palmer</dc:creator>
</cp:coreProperties>
</file>