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3.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4.xml"/>
  <Override ContentType="application/vnd.openxmlformats-officedocument.drawingml.chart+xml" PartName="/xl/charts/chart9.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Packages" sheetId="2" r:id="rId5"/>
    <sheet state="visible" name="Summary" sheetId="3" r:id="rId6"/>
    <sheet state="visible" name="Reducing radiator temp" sheetId="4" r:id="rId7"/>
    <sheet state="visible" name="Reduce Room Thermostat" sheetId="5" r:id="rId8"/>
    <sheet state="visible" name="Shorter Heating Season" sheetId="6" r:id="rId9"/>
    <sheet state="visible" name="Draught Stripping" sheetId="7" r:id="rId10"/>
    <sheet state="visible" name="Reduce heating hours" sheetId="8" r:id="rId11"/>
    <sheet state="visible" name="Turn off pre-heat" sheetId="9" r:id="rId12"/>
    <sheet state="visible" name="Reducing DHW temp. (cylinder)" sheetId="10" r:id="rId13"/>
    <sheet state="visible" name="Reducing DHW temp. (combi)" sheetId="11" r:id="rId14"/>
    <sheet state="visible" name="Moving furniture" sheetId="12" r:id="rId15"/>
    <sheet state="visible" name="Closing curtains" sheetId="13" r:id="rId16"/>
    <sheet state="visible" name="Window treatments" sheetId="14" r:id="rId17"/>
    <sheet state="visible" name="Loft insulation" sheetId="15" r:id="rId18"/>
    <sheet state="visible" name="Radiator foil" sheetId="16" r:id="rId19"/>
    <sheet state="visible" name="Smart thermostats &amp; compensn" sheetId="17" r:id="rId20"/>
    <sheet state="visible" name="TRVs" sheetId="18" r:id="rId21"/>
    <sheet state="visible" name="Assumptions" sheetId="19" r:id="rId22"/>
    <sheet state="visible" name="Tariffs" sheetId="20" r:id="rId23"/>
    <sheet state="visible" name="References" sheetId="21" r:id="rId24"/>
    <sheet state="visible" name="Modelling Notes" sheetId="22" r:id="rId25"/>
    <sheet state="visible" name="Change Log" sheetId="23" r:id="rId26"/>
  </sheets>
  <definedNames>
    <definedName name="propHomesSince2002">'Draught Stripping'!$B$18</definedName>
    <definedName name="propGasRegular">Assumptions!$B$42</definedName>
    <definedName name="VulnerableHouseholdsLikely">Assumptions!$D$31</definedName>
    <definedName name="numOtherElectricHeatersEngland">Assumptions!$C$94</definedName>
    <definedName name="MeanDomesticOilBill">Assumptions!$B$54</definedName>
    <definedName name="Therm1CSaving">Assumptions!$D$77</definedName>
    <definedName name="MeanOilBill2022">Assumptions!$B$55</definedName>
    <definedName name="propTolerantShorterHeatingSeasonHigh">'Shorter Heating Season'!$D$48</definedName>
    <definedName name="gasBillPropSpace">Assumptions!$B$41</definedName>
    <definedName name="carbonGasPerGWh">Assumptions!$B$6</definedName>
    <definedName name="carbonElectricityPerkWh">Assumptions!$B$7</definedName>
    <definedName name="YearTotalDD">'Shorter Heating Season'!$B$16</definedName>
    <definedName name="propOtherElectricHeatersEngland">Assumptions!$B$94</definedName>
    <definedName name="DDFactorLow">'Shorter Heating Season'!$B$25</definedName>
    <definedName name="ReduceTherm1Clow">'Reduce Room Thermostat'!$G$23</definedName>
    <definedName name="ReduceTherm2Clikely">'Reduce Room Thermostat'!$I$24</definedName>
    <definedName name="numStorageHeatersEngland">Assumptions!$C$93</definedName>
    <definedName name="PropGasBillDuetoSpHeating">'Shorter Heating Season'!$B$27</definedName>
    <definedName name="kwhPerKtoe">Assumptions!$B$4</definedName>
    <definedName name="numberDwellingsUK">Assumptions!$B$19</definedName>
    <definedName name="DDFactorHigh">'Shorter Heating Season'!$D$25</definedName>
    <definedName name="TotalStorageHeaters">Assumptions!$C$126</definedName>
    <definedName name="propTolerantShorterHeatingSeasonLow">'Shorter Heating Season'!$B$48</definedName>
    <definedName name="TotalGasBoilers">Assumptions!$C$124</definedName>
    <definedName name="TotalDomesticElecHeating">Assumptions!$C$128</definedName>
    <definedName name="propStorageHeatersEngland">Assumptions!$B$93</definedName>
    <definedName name="ReduceTherm2Clow">'Reduce Room Thermostat'!$G$24</definedName>
    <definedName name="MeanElectricHeatingBill2022">Assumptions!$B$70</definedName>
    <definedName name="propHomesGasHeating">Assumptions!$B$43</definedName>
    <definedName name="NewTotalDomesticGasKwh">Assumptions!$B$35</definedName>
    <definedName name="SelectedPricePeriod">Tariffs!$B$10</definedName>
    <definedName name="numberHomesOtherElectricHeaters">Assumptions!$B$66</definedName>
    <definedName name="Therm2CSavingLow">'Reduce Room Thermostat'!$G$24</definedName>
    <definedName name="MeanTotalDomesticGasBill2022">Assumptions!$B$40</definedName>
    <definedName name="numberHomesGasHeating">Assumptions!$B$38</definedName>
    <definedName name="ReduceTherm1Clikely">'Reduce Room Thermostat'!$I$23</definedName>
    <definedName name="gasStandingCharge">Tariffs!$E$11</definedName>
    <definedName name="oilBillPropSpace">Assumptions!$B$56</definedName>
    <definedName name="VulnerableHouseholdsHigh">Assumptions!$C$31</definedName>
    <definedName name="PropAlreadyDraughts">'Draught Stripping'!$B$19</definedName>
    <definedName name="ReduceTherm1Chigh">'Reduce Room Thermostat'!$H$23</definedName>
    <definedName name="TotalOtherElectrickWh">Assumptions!$B$72</definedName>
    <definedName name="carbonElectricitryPerkWh">Assumptions!$B$7</definedName>
    <definedName name="propTherm18OKLikely">'Reduce Room Thermostat'!$D$18</definedName>
    <definedName name="numberHomesOilHeating">Assumptions!$B$52</definedName>
    <definedName name="propTherm19OKLow">'Reduce Room Thermostat'!$B$17</definedName>
    <definedName name="TotalOtherElectricHeaters">Assumptions!$C$127</definedName>
    <definedName name="NewHomesLowFlowBoilers">'Reducing radiator temp'!$C$110</definedName>
    <definedName name="propTherm19OKHigh">'Reduce Room Thermostat'!$C$17</definedName>
    <definedName name="MeanElectricBill2022">Assumptions!$B$70</definedName>
    <definedName name="propTherm19OKLikely">'Reduce Room Thermostat'!$D$17</definedName>
    <definedName name="kwhPerToe">Assumptions!$B$3</definedName>
    <definedName name="OffPeakTariff">Tariffs!$B$39</definedName>
    <definedName name="propTolerantShorterHeatingSeasonMedium">'Shorter Heating Season'!$C$48</definedName>
    <definedName name="propOilRegular">Assumptions!$B$57</definedName>
    <definedName name="elecPricePerkWh">Tariffs!$B$11</definedName>
    <definedName name="propHomesCentralTherm">'Reduce Room Thermostat'!$D$25</definedName>
    <definedName name="propTherm18OKHigh">'Reduce Room Thermostat'!$C$18</definedName>
    <definedName name="carbonGasTperGWh">Assumptions!$B$6</definedName>
    <definedName name="propTherm18OKLow">'Reduce Room Thermostat'!$B$18</definedName>
    <definedName name="MeanDomesticGasBill">Assumptions!$B$39</definedName>
    <definedName name="Therm2CSaving">'Reduce Room Thermostat'!$G$24</definedName>
    <definedName name="DDOct.Apr">Assumptions!$B$92</definedName>
    <definedName name="TotalDomesticGasKwh">Assumptions!$B$35</definedName>
    <definedName name="TotalDomesticOilkWh">Assumptions!$B$49</definedName>
    <definedName name="carbonOilPerkWh">Assumptions!$B$8</definedName>
    <definedName name="electricityPriceDualRateP">Assumptions!$B$13</definedName>
    <definedName name="numberDwellingsEngland">Assumptions!$C$90</definedName>
    <definedName name="DDNov.Apr">Assumptions!$B$93</definedName>
    <definedName name="elecStandingCharge">Tariffs!$C$11</definedName>
    <definedName name="ReduceTherm2Chigh">'Reduce Room Thermostat'!$H$24</definedName>
    <definedName name="carbonGasPerkWh">Assumptions!$B$5</definedName>
    <definedName name="gasPricePerkWh">Tariffs!$D$11</definedName>
    <definedName name="TotalDomesticElecHeatingkwh">Assumptions!$B$62</definedName>
    <definedName name="propGasHeatingEngland">Assumptions!$B$91</definedName>
    <definedName name="TotalOilBoilers">Assumptions!$C$125</definedName>
    <definedName name="TotalStorageHeaterskWh">Assumptions!$B$71</definedName>
    <definedName name="oilPriceP">Assumptions!$B$15</definedName>
    <definedName name="propHomesGasRegular">Assumptions!$B$44</definedName>
    <definedName name="VulnerableHouseholdsLow">Assumptions!$B$31</definedName>
    <definedName name="NewTotalDomesticOilkWh">Assumptions!$B$49</definedName>
    <definedName name="propHomesOtherElectricHeaters">Assumptions!$B$68</definedName>
    <definedName name="oilPricePerkWh">Assumptions!$B$15</definedName>
    <definedName name="numGasHeatingEngland">Assumptions!$C$91</definedName>
    <definedName name="propTolerantShorterHeatingSeason">'Shorter Heating Season'!$B$48</definedName>
    <definedName name="propSavings19C">'Reduce Room Thermostat'!$B$12</definedName>
    <definedName name="MeanDomesticElectricHeatingBill">Assumptions!$B$69</definedName>
    <definedName name="propHomesStorageHeaters">Assumptions!$B$67</definedName>
    <definedName name="propHomesGasCombi">Assumptions!$B$45</definedName>
    <definedName name="propHomesOilHeating">Assumptions!$B$53</definedName>
    <definedName name="numOilHeatingEngland">Assumptions!$C$92</definedName>
    <definedName name="DDNov.Mar">Assumptions!$B$94</definedName>
    <definedName name="MeanDomesticGasBill2022">Assumptions!$B$40</definedName>
    <definedName name="propOilHeatingEngland">Assumptions!$B$92</definedName>
    <definedName name="numberHomesStorageHeater">Assumptions!$B$65</definedName>
    <definedName name="propSavings18C">'Reduce Room Thermostat'!$D$13</definedName>
  </definedNames>
  <calcPr/>
  <extLst>
    <ext uri="GoogleSheetsCustomDataVersion2">
      <go:sheetsCustomData xmlns:go="http://customooxmlschemas.google.com/" r:id="rId27" roundtripDataChecksum="yuzqqsAivnDlcCPBY1Ge+7oVrIOXag4RbsfmuRsuus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80">
      <text>
        <t xml:space="preserve">======
ID#AAACGGUlq7Y
Nicola Terry    (2026-08-26 16:46:17)
This package is the same as above except for reducing the thermostat to a lower temperature, for households that can do this safely.</t>
      </text>
    </comment>
    <comment authorId="0" ref="A71">
      <text>
        <t xml:space="preserve">======
ID#AAACGWEL-zI
tc={8617C75E-31D2-4503-B488-D1763E2B5746}    (2026-08-27 10:58:22)
[Threaded comment]
Your version of Excel allows you to read this threaded comment; however, any edits to it will get removed if the file is opened in a newer version of Excel. Learn more: https://go.microsoft.com/fwlink/?linkid=870924
Comment:
    Why is this here?</t>
      </text>
    </comment>
  </commentList>
  <extLst>
    <ext uri="GoogleSheetsCustomDataVersion2">
      <go:sheetsCustomData xmlns:go="http://customooxmlschemas.google.com/" r:id="rId1" roundtripDataSignature="AMtx7miuvMWNyYCguRKcZ+l8UWicaS6pMg=="/>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K31">
      <text>
        <t xml:space="preserve">======
ID#AAACGGUlq7g
Nicola Terry    (2026-08-26 16:46:17)
Homes with less loft insulation have lower bills so these figures are based on the typical savings as a proportion of the actual bill rather than the mean bill (from the CHM).</t>
      </text>
    </comment>
  </commentList>
  <extLst>
    <ext uri="GoogleSheetsCustomDataVersion2">
      <go:sheetsCustomData xmlns:go="http://customooxmlschemas.google.com/" r:id="rId1" roundtripDataSignature="AMtx7mgs6z2Ub4JSLxIP7ma2obdxjOz7nw=="/>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E99">
      <text>
        <t xml:space="preserve">======
ID#AAACGZOElao
tc={27DAAEF2-BE8E-4847-A9E9-81E76D7065D1}    (2026-09-16 15:36:30)
[Threaded comment]
Your version of Excel allows you to read this threaded comment; however, any edits to it will get removed if the file is opened in a newer version of Excel. Learn more: https://go.microsoft.com/fwlink/?linkid=870924
Comment:
    So this must include also all the new homes where actually temperature is 55? Seems unnecessary</t>
      </text>
    </comment>
  </commentList>
  <extLst>
    <ext uri="GoogleSheetsCustomDataVersion2">
      <go:sheetsCustomData xmlns:go="http://customooxmlschemas.google.com/" r:id="rId1" roundtripDataSignature="AMtx7miCio8GE3/414RelEWs/vgIzHptJw=="/>
    </ext>
  </extLst>
</comments>
</file>

<file path=xl/sharedStrings.xml><?xml version="1.0" encoding="utf-8"?>
<sst xmlns="http://schemas.openxmlformats.org/spreadsheetml/2006/main" count="2594" uniqueCount="1297">
  <si>
    <t>PACKAGES OF MEASURES</t>
  </si>
  <si>
    <t xml:space="preserve">Bill savings per  household kWh/year (gas)					</t>
  </si>
  <si>
    <t>Bill savings per household kWh/year 	(oil)			***</t>
  </si>
  <si>
    <t>Multiplication factor for bill</t>
  </si>
  <si>
    <t>These energy-saving estimates were originally assembled by Cambridge Architectural Research in August-September 2022, under contract to Nesta, the UK innovation agency for social good. This work built on the work CAR carried out for  the Department of Energy and Climate Change (now DESNZ) in 2012. NESTA commissioned CAR to revise the estimates in June-July 2026, to coincide with Ofgem's higher energy-price caps. We reveiwed and incorporated new evidence, updated methods, and revised housing and population data to reflect the larger, slightly more energy efficiency housing stock. Note that all of the estimates have been revised, and these findings are not directly comparable to earlier work.
In all cases, per-dwelling energy savings are estimated using the best-available evidence, supplemented by modelling and explicit assumptions that are recorded in the worksheets here. In many cases the evidence base is limited, and likely to improve over time. This workbook is intended to be updated iteratively over time as more evidence becomes available.
There is more information about the Cambridge Housing Model, used as a starting point for some of the estimates, here:
http://tinyurl.com/HousingFactFile
There is also more information about CODE, the Cost-Optimal Domestic Electrification model, which is also used for some estimates, here:
https://www.gov.uk/government/publications/cost-optimal-domestic-electrification-code
CAR's original work quantifying energy-saving behaviours is available here:
https://www.gov.uk/government/publications/how-much-energy-could-be-saved-by-making-small-changes-to-everyday-household-behaviours
Our original work for NESTA is available here:
https://www.nesta.org.uk/report/free-and-low-cost-energy-saving-actions-to-bring-down-bills-improve-energy-security-and-help-the-planet/</t>
  </si>
  <si>
    <t>Low</t>
  </si>
  <si>
    <t>Medium</t>
  </si>
  <si>
    <t>High</t>
  </si>
  <si>
    <t>No upfront cost (Combi boiler)</t>
  </si>
  <si>
    <t>Reduce flow temperature to 60°C *</t>
  </si>
  <si>
    <t>Activity</t>
  </si>
  <si>
    <t>Bill savings per participating household kWh/year</t>
  </si>
  <si>
    <t>Worksheets</t>
  </si>
  <si>
    <t>Overview</t>
  </si>
  <si>
    <t>Indicative % saving from gas 
bill (gas only, Medium)</t>
  </si>
  <si>
    <t>Millions of homes (UK) that can do this</t>
  </si>
  <si>
    <t>Summary</t>
  </si>
  <si>
    <t>An overview of our findings, drawing information from all other sheets</t>
  </si>
  <si>
    <t>Proportion of dwellings that could adopt the measure</t>
  </si>
  <si>
    <t>Packages</t>
  </si>
  <si>
    <t>Illustrative packages of multiple energy-saving actions. Note that in most cases savings cannot be simply added together.</t>
  </si>
  <si>
    <t>Bill savings per participating household £/year</t>
  </si>
  <si>
    <t>UK Stock total carbon savings kt/year</t>
  </si>
  <si>
    <t>Other sheets</t>
  </si>
  <si>
    <t>Detailed discussion and calculations behind each of the Energy-Saving Actions listed in the Summary sheet</t>
  </si>
  <si>
    <t>UK Stock total energy savings TWh/year</t>
  </si>
  <si>
    <t>UK Stock total energy savings £ (medium only)</t>
  </si>
  <si>
    <t>Comfort improvement</t>
  </si>
  <si>
    <t>Evidence base (*=weak, ***=adequate)</t>
  </si>
  <si>
    <t>Add or multiply to calculate packages</t>
  </si>
  <si>
    <t>Gas</t>
  </si>
  <si>
    <t>Oil</t>
  </si>
  <si>
    <t>Electricity</t>
  </si>
  <si>
    <t>… to Flow 60°C (lower indoor temp)</t>
  </si>
  <si>
    <t>*Note that oil boilers do not benefit in the same way as gas boilers from lower flow temperatures, so there are no savings.</t>
  </si>
  <si>
    <t>Close curtains at night</t>
  </si>
  <si>
    <t>Reducing the temperature of the water fed to radiators</t>
  </si>
  <si>
    <t>This measure applies to homes with gas combi boilers, except where the pipework or radiators is inadequate for lower tow emperature. (Some households may tolerate lower temperature in very cold weather, or adjust the flow temperature when needed.)</t>
  </si>
  <si>
    <t xml:space="preserve">Condensing boilers are more efficient when the return temperature (inlet to the boiler) is at 54°C or below. The lower the return temperature, the more latent heat from condensing the flue gases is retained. We estimate the impact of reducing the flow/return temperatures from 75/55°C to 60/45°C or 55/40°C. </t>
  </si>
  <si>
    <t>Definitions</t>
  </si>
  <si>
    <t>Flow temp.</t>
  </si>
  <si>
    <t>The temperature of fluid leaving the boiler to circulate through radiators</t>
  </si>
  <si>
    <t xml:space="preserve">Reducing flow temperature is normally only possible with combi boilers. In systems with stored hot water, the controls and pipework do not allow for different temperatures for hot water versus radiators. The hot water in the cylinder needs to be heated to at least 60°C to protect against Legionella, which means higher water temperature leaving the boiler. </t>
  </si>
  <si>
    <t>Return temp.</t>
  </si>
  <si>
    <t>The temperuture of fluid coming back from radiators to the boiler</t>
  </si>
  <si>
    <t>Boilers and radiators are typically sized for a Delta T of 20°C. This means that a mean water temperature (MWT) of 70°C equates to 80°C on the outlet (flow temperature) and 60°C on the return. Some boilers are supposed to adjust the pump speed to maintain this temperature difference. As radiators are less effective at lower temperatures, a lower flow temperature should mean increasing the flow rate. However we cannot rely on this and so we assume the Delta T is lower: 15°C at the lower temperatures. Some references give efficiences based on mean water temperature (MWT), which is half-way between the flow and return temperature.</t>
  </si>
  <si>
    <t>MWT</t>
  </si>
  <si>
    <t>Mean water temperature, in °C, average of flow and return</t>
  </si>
  <si>
    <t xml:space="preserve">The modelling approach here is to first determine the increase in efficiency which will apply to space heating using the lower flow temperature and then apply this to the space heating portion of gas heating demand. </t>
  </si>
  <si>
    <t xml:space="preserve">Delta T
</t>
  </si>
  <si>
    <t>Outlet temperature minus boiler return temperature</t>
  </si>
  <si>
    <t>In practice, the reduced flow temperature will also lead to longer heating up times. How much longer depends on the radiator sizes and other characteristics of the house and heating system. If heating up time is significantly longer, because of the reduced radiator output, then the average temperature is also lower and heat loss is reduced, yielding additional energy savings. Some homes may not reach the desired temperature at all on very cold days. This also means a reduction in thermal comfort but if it is acceptable to the household, then the effect is similar to reducing the thermostsat setting. The Salford tests and the Energy Systems Catapult modelling (see below) reported overall gas savings - including the temperature effect - but the evidence for quantifying the effect is still weak because  it depends on initial radiator oversizing and other unknowns. We estimate savings in two ways: a) based on efficiency savings alone and b) taking account of the reduced temperature.</t>
  </si>
  <si>
    <t xml:space="preserve">We only consider gas boilers, although condensing oil combi boilers are also available. This is for two reasons. Firstly, the number of oil boilers is much smaller: only 3% of homes have oil heating,  compared to 84% with gas boilers (EHSenergy). Secondly, the potential efficiency gains are lower. This is because there is less water vapour in the flue gases from an oil boiler and so less energy lost when the vapour is not condensed. According to SAP 10.2, a condensing oil combi boiler installed post-1998 has efficiency of  84%, compared to 80% non-condensing. For the gas boiler equivalent figures are 84% and 74% . </t>
  </si>
  <si>
    <t>Heat Geek reference chart</t>
  </si>
  <si>
    <t>Cibse reference chart</t>
  </si>
  <si>
    <t>We compare estimates of the efficiency gains from several sources.  In all cases flow temperature of 75°C e assumed to start with. The values for CIBSE and HeatGeekEff are taken from a chart which uses return temperature. The Heating and Hotwater Industry Council (HHIC) uses the MWT as the defining parameter. For CIBSE, values are given at different levels of load on the boiler, and here 50% load is used. The data from Salford is from tests on the Salford test house and is not yet published.</t>
  </si>
  <si>
    <r>
      <rPr>
        <rFont val="Calibri"/>
        <color theme="1"/>
        <sz val="12.0"/>
      </rPr>
      <t>Potential take up is lower here than in the 2022 version of our savings estimates because new homes must have boilers set to 55</t>
    </r>
    <r>
      <rPr>
        <rFont val="Calibri"/>
        <color theme="1"/>
        <sz val="12.0"/>
      </rPr>
      <t>°C, and in existing homes new replacement boilers must also run at lower temperatures "where possible".</t>
    </r>
  </si>
  <si>
    <t>Boiler efficiency gains</t>
  </si>
  <si>
    <t>Reference</t>
  </si>
  <si>
    <t>HHIC</t>
  </si>
  <si>
    <t>HHIC with weather compensation</t>
  </si>
  <si>
    <t>CIBSE</t>
  </si>
  <si>
    <t>HeatGeekEff</t>
  </si>
  <si>
    <t xml:space="preserve">SalfordFlow
</t>
  </si>
  <si>
    <t>SAP10</t>
  </si>
  <si>
    <t>Closing curtains at night</t>
  </si>
  <si>
    <t>Turn off pre-heat facility</t>
  </si>
  <si>
    <t>Reference details</t>
  </si>
  <si>
    <t>p41</t>
  </si>
  <si>
    <t>commercial condensing boilers</t>
  </si>
  <si>
    <t>winter</t>
  </si>
  <si>
    <t>summer</t>
  </si>
  <si>
    <t>hot water as a proportion of space heating</t>
  </si>
  <si>
    <t>mean space heating</t>
  </si>
  <si>
    <t>Flow</t>
  </si>
  <si>
    <t>Return</t>
  </si>
  <si>
    <t>Heat Geek</t>
  </si>
  <si>
    <t>Salford</t>
  </si>
  <si>
    <t>Flow/return/MWT</t>
  </si>
  <si>
    <t>80/60/70°C</t>
  </si>
  <si>
    <t>75/55/65°C (interpolated where necessary)</t>
  </si>
  <si>
    <t>60/45/53°C (interpolated where necessary)</t>
  </si>
  <si>
    <t>57/43/50°C standard controls - intepolated based on ratio at MWT 70</t>
  </si>
  <si>
    <t>Readjusting existing TRVs outside the living room to 1.5°C cooler than before</t>
  </si>
  <si>
    <t>55/40/48°C (interpolated where necessary)</t>
  </si>
  <si>
    <t>**</t>
  </si>
  <si>
    <t>Multiply</t>
  </si>
  <si>
    <t>Efficiency evidence summary</t>
  </si>
  <si>
    <t>The efficiency savings are the proportion by which the boiler efficiencies improve (excluding savings from lower achieve temperatures). This is calculated separately for each source, so that each estimate uses consistent assumptions.</t>
  </si>
  <si>
    <t>Claimed heating efficiency savings Flow at 75 to 60°C</t>
  </si>
  <si>
    <t>Claimed heating efficiency savings Flow at 75 to 55°C</t>
  </si>
  <si>
    <t>Sum of added measures**</t>
  </si>
  <si>
    <t>Discussion</t>
  </si>
  <si>
    <t>kWh</t>
  </si>
  <si>
    <t>Heat Geek assumes lower efficiencies at high temperatures, and a steeper improvement than the other sources (see graph, right).</t>
  </si>
  <si>
    <t>At the low flow temperatures there is more agreement between sources.</t>
  </si>
  <si>
    <t>**Since pre-heat savings do not apply to oil boilers, the pattern of added measures follows a different pattern from other combinations of measures.</t>
  </si>
  <si>
    <t>Multiply factor, after adding savings, for measures combined by adding together</t>
  </si>
  <si>
    <t>Gas savings - Salford (Source: SalfordFlow)</t>
  </si>
  <si>
    <t>Reduce Room Thermostat</t>
  </si>
  <si>
    <t>Flow temp. (°C)</t>
  </si>
  <si>
    <t>Gas kWh</t>
  </si>
  <si>
    <t>This measure applies to all homes except for those with 'vulnerable persons', where it is inadviseable to lower thermostats below 19°C.</t>
  </si>
  <si>
    <t>Savings from 80°C</t>
  </si>
  <si>
    <t>This measure applies results from modelling using the Cambridge Housing Model</t>
  </si>
  <si>
    <t>Savings from 75°C</t>
  </si>
  <si>
    <t>Mean room temp.  (°C)</t>
  </si>
  <si>
    <t>Lowering the target room temperature reduces heating demand. The savings are quite high as a proportion of the bill because some of the heating is provided by internal or external gains and this is unaffected by the target temperature.</t>
  </si>
  <si>
    <t>We have used the Cambridge Housing Model to model estmate savings as a proportion of the bill.</t>
  </si>
  <si>
    <t>There is some evidence that reducing the thermostat to 18°C or lower can have health consequences. As a first approximation we have assumed all households could reduce to 19°C without detriment but households with elderly members (especially living alone) or the very young should not go down to 18°C.</t>
  </si>
  <si>
    <t>Savings are reported for reducing the thermostat from 20°C down to 19 or 18°C. In practice many households have the thermostat set higher than 20 anyway so the savings from reducing it would be higher.</t>
  </si>
  <si>
    <t>These calculations assume that households that can lower the thermostat live in homes that are similar to average homes. In fact they may live in smaller homes than average because they are elderly or have no children. This means absolute savings will be smaller, but the proportion of savings in each home are unaffected.</t>
  </si>
  <si>
    <t>Bill savings modelled in the CHM</t>
  </si>
  <si>
    <t>Likely</t>
  </si>
  <si>
    <t>kWh/year</t>
  </si>
  <si>
    <t>Savings from reducing the heating demand by 1C down from 20C (kWh/year)</t>
  </si>
  <si>
    <t>Apply multiplicative savings</t>
  </si>
  <si>
    <t>Bill savings as proportion of bill</t>
  </si>
  <si>
    <t>CHM</t>
  </si>
  <si>
    <t>Savings from reducing the heating demand by 2C down from 20C (kWh/year)</t>
  </si>
  <si>
    <t>%</t>
  </si>
  <si>
    <t>Resulting savings</t>
  </si>
  <si>
    <t>Proportion of homes that can reduce thermostat setting 20C to 19C - all homes with heating controls</t>
  </si>
  <si>
    <t>CAR Estimate</t>
  </si>
  <si>
    <t>Proportion of homes that can reduce thermostat setting 20C to 18C - not vulnerable households</t>
  </si>
  <si>
    <t>Calculation</t>
  </si>
  <si>
    <t>Proportion of homes that can reduce thermostat setting 20C to 19C MINUS 50% that have already done this</t>
  </si>
  <si>
    <t>Gas savings - Salford Update (Source: SalfordFlow2)</t>
  </si>
  <si>
    <t>No upfront cost (System boiler)</t>
  </si>
  <si>
    <t>Proportion of homes that can reduce thermostat setting 20C to 18C MINUS 50% that have already done this</t>
  </si>
  <si>
    <t>Reducing the cylinder temperature to 60°C</t>
  </si>
  <si>
    <t>Any heating</t>
  </si>
  <si>
    <t>Starting flow temperature</t>
  </si>
  <si>
    <t>low</t>
  </si>
  <si>
    <t>high</t>
  </si>
  <si>
    <t>likely</t>
  </si>
  <si>
    <t>Reduced flow temperature</t>
  </si>
  <si>
    <t>Percentage saving on gas used for heating only</t>
  </si>
  <si>
    <t>Household energy for heating to 20C</t>
  </si>
  <si>
    <t>Overall gas saving, assuming heating accounts for 75% of total gas use</t>
  </si>
  <si>
    <t>80°C</t>
  </si>
  <si>
    <t>70°C</t>
  </si>
  <si>
    <t>EnergySavCHM</t>
  </si>
  <si>
    <t>Household energy for heating to 19C</t>
  </si>
  <si>
    <t>60°C</t>
  </si>
  <si>
    <t>55°C</t>
  </si>
  <si>
    <t>Household energy for heating to 18C</t>
  </si>
  <si>
    <t>50°C</t>
  </si>
  <si>
    <t>Proportion of homes with central heating</t>
  </si>
  <si>
    <t>EHSEnergy2023</t>
  </si>
  <si>
    <t>Gas savings - Energy Systems Catapult modelling (based on data provided before publication)</t>
  </si>
  <si>
    <t>Percentage gas savings</t>
  </si>
  <si>
    <t>Archetype ID/Radiator flow temperature</t>
  </si>
  <si>
    <t>Calculated</t>
  </si>
  <si>
    <t>Winter from 80°C</t>
  </si>
  <si>
    <t>Spring from 80°C</t>
  </si>
  <si>
    <t>Winter from 70°C</t>
  </si>
  <si>
    <t>Spring from 70°C</t>
  </si>
  <si>
    <t>Winter from 75°C</t>
  </si>
  <si>
    <t>Spring from 75°C</t>
  </si>
  <si>
    <t>Annual average 
(2/3 winter)</t>
  </si>
  <si>
    <t>These figures are averaged from cases with no limit on setback temperature</t>
  </si>
  <si>
    <t>28/60</t>
  </si>
  <si>
    <t>5/60</t>
  </si>
  <si>
    <t>4/60</t>
  </si>
  <si>
    <t>12/60</t>
  </si>
  <si>
    <t>1/60</t>
  </si>
  <si>
    <t>Mean/60</t>
  </si>
  <si>
    <t>*</t>
  </si>
  <si>
    <t>Bill savings per household (proportion of 2022 bill)</t>
  </si>
  <si>
    <t>1C, for homes heated with gas</t>
  </si>
  <si>
    <t>28/55</t>
  </si>
  <si>
    <t>2C, for homes heated with gas</t>
  </si>
  <si>
    <t>5/55</t>
  </si>
  <si>
    <t>Bill savings per household (kWh or £)</t>
  </si>
  <si>
    <t>£/year</t>
  </si>
  <si>
    <t>4/55</t>
  </si>
  <si>
    <t>Proportion of homes</t>
  </si>
  <si>
    <t>1C, For homes heated with gas</t>
  </si>
  <si>
    <t>12/55</t>
  </si>
  <si>
    <t>1/55</t>
  </si>
  <si>
    <t>Mean/55</t>
  </si>
  <si>
    <t>1C, For homes heated with oil</t>
  </si>
  <si>
    <t>Our estimates</t>
  </si>
  <si>
    <t>Most likely</t>
  </si>
  <si>
    <t>Heating efficiency savings Flow at 75 to 60°C</t>
  </si>
  <si>
    <t>1C, For homes heated with electricity (exc. storage heaters)</t>
  </si>
  <si>
    <t>These are the average of the results from HHIC, CIBSE, HeatGeek and Salford for efficiency only.</t>
  </si>
  <si>
    <t>Heating efficiency savings Flow at 75 to 55°C</t>
  </si>
  <si>
    <t>1C, For homes heated with storage heaters</t>
  </si>
  <si>
    <t>Gas savings (comfort reduction) from reducing Flow from 75 to 60°C</t>
  </si>
  <si>
    <t>1C, Mean for all homes</t>
  </si>
  <si>
    <t>The 'Most likely' estimate is the Salford result as this is the only case based on physical tests. This is only one house. The ESC modelled results are somewhat higher.</t>
  </si>
  <si>
    <t>Sum of added measures</t>
  </si>
  <si>
    <t>Gas savings (including comfort reduction) from reducing Flow from 75 to 55°C</t>
  </si>
  <si>
    <t>The 'Low' result is the average of the most likely and the efficiency-only estimate. High savings are 10% more than most likely.</t>
  </si>
  <si>
    <t>Space heating demand</t>
  </si>
  <si>
    <t>2C, For homes heated with gas</t>
  </si>
  <si>
    <t>The savings calculated above are for space heating only. This section estimates total space heating demand for all homes and the average space heating demand for a single dwelling.</t>
  </si>
  <si>
    <r>
      <rPr>
        <rFont val="Calibri"/>
        <color theme="1"/>
        <sz val="12.0"/>
      </rPr>
      <t>The space heating demand for homes that can adopt this measure may be less than the average overall because this measure is primarily for combi boilers, and combi boilers are more often installed in smaller homes. (English Housing Survey suggests mean floor area for dwellings with combis is 85m</t>
    </r>
    <r>
      <rPr>
        <rFont val="Calibri"/>
        <color theme="1"/>
        <sz val="12.0"/>
        <vertAlign val="superscript"/>
      </rPr>
      <t>2</t>
    </r>
    <r>
      <rPr>
        <rFont val="Calibri"/>
        <color theme="1"/>
        <sz val="12.0"/>
      </rPr>
      <t>; system boilers 111m</t>
    </r>
    <r>
      <rPr>
        <rFont val="Calibri"/>
        <color theme="1"/>
        <sz val="12.0"/>
        <vertAlign val="superscript"/>
      </rPr>
      <t>2</t>
    </r>
    <r>
      <rPr>
        <rFont val="Calibri"/>
        <color theme="1"/>
        <sz val="12.0"/>
      </rPr>
      <t>.) We have not adjusted for this.</t>
    </r>
  </si>
  <si>
    <t>Natural gas for space heating per household</t>
  </si>
  <si>
    <t>Reducing room thermostat (radiator temperature unchanged)</t>
  </si>
  <si>
    <t>2C, For homes heated with oil</t>
  </si>
  <si>
    <t>Bill savings per household</t>
  </si>
  <si>
    <t>Most Likely</t>
  </si>
  <si>
    <t>Flow reduced 75 to 60°C (efficiency only)</t>
  </si>
  <si>
    <r>
      <rPr>
        <rFont val="Calibri"/>
        <color theme="1"/>
        <sz val="12.0"/>
      </rPr>
      <t>to 19</t>
    </r>
    <r>
      <rPr>
        <rFont val="Calibri"/>
        <color theme="1"/>
        <sz val="12.0"/>
      </rPr>
      <t>°</t>
    </r>
    <r>
      <rPr>
        <rFont val="Calibri"/>
        <color theme="1"/>
        <sz val="12.0"/>
      </rPr>
      <t>C</t>
    </r>
  </si>
  <si>
    <t>2C, For homes heated with electricity (exc. storage heaters)</t>
  </si>
  <si>
    <t>Flow reduced 75 to 55°C  (efficiency only)</t>
  </si>
  <si>
    <t>2C, For homes heated with storage heaters</t>
  </si>
  <si>
    <t>Flow reduced 75 to 60°C (efficiency and comfort reduction)</t>
  </si>
  <si>
    <t>Flow reduced 75 to 55°C  (efficiency and comfort reduction)</t>
  </si>
  <si>
    <t>2C, Mean for all homes</t>
  </si>
  <si>
    <t>Thermal comfort</t>
  </si>
  <si>
    <t>Upgrade loft insulation from 50-100 mm to 300mm</t>
  </si>
  <si>
    <t>Potential uptake</t>
  </si>
  <si>
    <t xml:space="preserve">Dwellings with gas combi boilers can adopt this measure if (a) the heating  currently has a flow temperature of 75°C, (b) the controls allow them to make the change, and (c) the radiators and other parts of the heating system are suitable for the dwelling to achieve its temperature set point. Some homes have microbore pipes which may present resistance to the higher flow rate needed (70% faster flow). Equally, some homes may have small radiators where the lower temperature is not sufficient to heat the home. </t>
  </si>
  <si>
    <t>According to the ONS, 10% of adults say they have already turned down the flow temperature on their boiler. So some of this potential uptake is already in place.</t>
  </si>
  <si>
    <t>NESTA's more recent research [NESTA2023] found that 32% of households had already turned down flow temperatures</t>
  </si>
  <si>
    <t>On the other hand, according to BEIS [BEISDistrib], only 75% of homes have heating systems capable of maintaining the required temperature in peak cold weather at a flow temperature of 75°C. Many homes are underheating already. Also problems with radiators due to poor hydraulic balancing, air in the system, sludge or scaling can reduce the efficacy of radiators, though it is hard to guage how widespread they are. Figures from this source inform our estimate of the number of homes with suitable capacity. The BEIS report does not mention microbore pipework, so we allow for this separately.</t>
  </si>
  <si>
    <t>Proportion of homes with gas combi boilers</t>
  </si>
  <si>
    <t>Microbore pipework in 4-5 million homes</t>
  </si>
  <si>
    <t>p17</t>
  </si>
  <si>
    <t>Proportion of  boilers with microbore pipes</t>
  </si>
  <si>
    <t>Proportion of homes that have already turned down the flow temperature</t>
  </si>
  <si>
    <t>NESTA2023</t>
  </si>
  <si>
    <t>Proportion of homes with radiators where the radiators can provide comfort 
Data from [BEISDistrib] - see charts, right</t>
  </si>
  <si>
    <t>comfort reduction</t>
  </si>
  <si>
    <t>Mean winter - bottom of confidence interval (Figure 3)</t>
  </si>
  <si>
    <t>to 18°C</t>
  </si>
  <si>
    <t>Mean winter (Figure 3)</t>
  </si>
  <si>
    <t>Mean winter - top of confidence interval (Figure 3)</t>
  </si>
  <si>
    <t>Proportion of homes that have flow at 75°C (or similar)</t>
  </si>
  <si>
    <t>CAR expert opinion</t>
  </si>
  <si>
    <t>Proportion of homes with gas combi boilers that have suitable controls</t>
  </si>
  <si>
    <t>CAR expert opinion: at most the proportion of homes with combi boilers</t>
  </si>
  <si>
    <t>Proportion of homes with suitable radiators for 60°C</t>
  </si>
  <si>
    <t>See table above: 'Most Likely' is the typical winter day central estimate.</t>
  </si>
  <si>
    <t>Proportion of homes with suitable radiators for 55°C</t>
  </si>
  <si>
    <t>As above</t>
  </si>
  <si>
    <t>Proportion of homes with microbore pipes inadequate for 60°C</t>
  </si>
  <si>
    <t>Proportion of homes with microbore pipes inadequate for 55°C</t>
  </si>
  <si>
    <t>Proportion of homes that have suitable pipework for 60°C</t>
  </si>
  <si>
    <t>Proportion of homes that have suitable pipework for 55°C</t>
  </si>
  <si>
    <t>50-100 to 300mm*</t>
  </si>
  <si>
    <t>Install smart thermostat</t>
  </si>
  <si>
    <t>Overall proportion of homes suitable for Flow at 60°C</t>
  </si>
  <si>
    <t>Homes that already reduce flow temp now excluded (32%)</t>
  </si>
  <si>
    <t>Overall proportion of homes suitable for flow at 55°C</t>
  </si>
  <si>
    <t>Homes built since June 2023, which by law were installed with boilers with low flow temps</t>
  </si>
  <si>
    <t>New homes that already have a maximum flow temperature of 55°C</t>
  </si>
  <si>
    <t>Total GWh gas saved 75 to 60  GWh/year</t>
  </si>
  <si>
    <t>Shorter Heating Season (usually Oct-Apr)</t>
  </si>
  <si>
    <t>GWh/year</t>
  </si>
  <si>
    <t>Total GWh gas saved 75 to 55  GWh/year</t>
  </si>
  <si>
    <t>Early finish: October through March</t>
  </si>
  <si>
    <t>Number of participating households (thousands)</t>
  </si>
  <si>
    <t>Comfort Improvement</t>
  </si>
  <si>
    <t>Reducing radiator temperatures (set and forget)</t>
  </si>
  <si>
    <t>… to Flow 60°C (same indoor temp)</t>
  </si>
  <si>
    <t>Smart thermostats (e.g. NEST)</t>
  </si>
  <si>
    <t>Add window film to all windows</t>
  </si>
  <si>
    <t>-</t>
  </si>
  <si>
    <t>… to Flow 55°C (same indoor temp)</t>
  </si>
  <si>
    <t>Shorter Heating Season</t>
  </si>
  <si>
    <t>The heating season is normally October through April. In these measures we first delay the start until November and then additionally stop at the end of March.</t>
  </si>
  <si>
    <t>Heating demand relates to degree days, very roughly - though in practice the heating efficiency varies slightly with temperature. On cold days with a larger temperature difference between inside and outside, boilers may run continuously at 100% power, whereas on mild days they may modulate down and run intermittently, on short cycles, which reduces efficiency.</t>
  </si>
  <si>
    <t>Degree days (30 year mean) ref ET7.1 table 7.1b</t>
  </si>
  <si>
    <t>… to Flow 55°C (lower indoor temp)</t>
  </si>
  <si>
    <t>January</t>
  </si>
  <si>
    <t>February</t>
  </si>
  <si>
    <t>March</t>
  </si>
  <si>
    <t>April</t>
  </si>
  <si>
    <t>May</t>
  </si>
  <si>
    <t>June</t>
  </si>
  <si>
    <t>July</t>
  </si>
  <si>
    <t>August</t>
  </si>
  <si>
    <t>September</t>
  </si>
  <si>
    <t>October</t>
  </si>
  <si>
    <t>November</t>
  </si>
  <si>
    <t>December</t>
  </si>
  <si>
    <t>Mean DDs per day</t>
  </si>
  <si>
    <t>Later start: November through April</t>
  </si>
  <si>
    <t>DDs per month</t>
  </si>
  <si>
    <t>Degree-day calculations</t>
  </si>
  <si>
    <t>DD</t>
  </si>
  <si>
    <t>DD relative to baseline</t>
  </si>
  <si>
    <t>Whole year</t>
  </si>
  <si>
    <t>October through April (baseline)</t>
  </si>
  <si>
    <t>October through March</t>
  </si>
  <si>
    <t>November through April</t>
  </si>
  <si>
    <t>Reduce flow temperature to 60C (efficiency only)</t>
  </si>
  <si>
    <t>November through March</t>
  </si>
  <si>
    <t>Uncertainty (on whole bill)</t>
  </si>
  <si>
    <t>We take a 10% figure here because typical variations in heating degree days range from 5 to 15% from year to year.</t>
  </si>
  <si>
    <t>Uncertainty Factor</t>
  </si>
  <si>
    <t>Proportion of fuel bill due to space heating</t>
  </si>
  <si>
    <t>Expected bill for space heating (kWh/year)</t>
  </si>
  <si>
    <t>Later start and early finish: November through March</t>
  </si>
  <si>
    <t>Savings (kWh/year)</t>
  </si>
  <si>
    <t>High bill savings (Combi Boiler)</t>
  </si>
  <si>
    <t>Install TRVs and ajust them to 3°C cooler outside the living room</t>
  </si>
  <si>
    <t>Draught stripping</t>
  </si>
  <si>
    <t>Proportion of households that can tolerate lower indoor temperatures *</t>
  </si>
  <si>
    <t>Doors</t>
  </si>
  <si>
    <t>*During the months of not heating the indoor temperature will be a little lower. Here we exclude households with elderly or vulnerable residents that should not turn off heating in October or April.</t>
  </si>
  <si>
    <t>Proportion of households that have not already applied this measure**</t>
  </si>
  <si>
    <t>**Due to many households having already reduced the length of heating season to reduce their energy bills.</t>
  </si>
  <si>
    <t>Overall proportion of households that can adopt this measure</t>
  </si>
  <si>
    <t>Starting from all rooms at the same temperature, adjust TRVs to 3°C cooler outside the living room</t>
  </si>
  <si>
    <t>medium</t>
  </si>
  <si>
    <t>Windows</t>
  </si>
  <si>
    <t>Reduce flow temperature to 55°C (lower indoor temp)</t>
  </si>
  <si>
    <t>Doors and windows*</t>
  </si>
  <si>
    <t>High bill savings (System Boiler)</t>
  </si>
  <si>
    <t>Install TRVs and adjust them to 3°C cooler outside the living room</t>
  </si>
  <si>
    <t>Draught stripping Doors and Windows</t>
  </si>
  <si>
    <t>Since June 2002, all new build homes are required to meet an air tightness standard which is 8 m3/h/m2 at 50 Pa or better. Older homes are likely to have draughts around windows and doors and edges of suspended floors.</t>
  </si>
  <si>
    <t>The most common places for draughts are around openings such as doors and windows and other penetrations of the envelope such as for power cables, plumbing or communications cables.</t>
  </si>
  <si>
    <t>Filling gaps with mastic or fibre is not always appropriate for power cabling due to fire risk from overheating. This is not a DIY job.</t>
  </si>
  <si>
    <t>Draught stripping doors and windows is usually a DIY job. However foam draught strip (in common use) deteriorates so will need replacing from time to time. Brush strips usually last longer.</t>
  </si>
  <si>
    <t>Around 86% of pre-2002 dwellings have new, double-glazed windows [EHSEnergy2023], and most of this is PVC and has reasonable good draught seals. Far fewer dwellings have replaced front doors (perhaps half), and these have variable draught seals. However, we cannot say what proportion of un-replaced (leaky) doors have already been treated with draught stripping. In the absence of more reliable evidence, we infer that the number of pre-2002 dwellings with new, well-sealed doors PLUS those with old doors that have been treated is roughly the same as dwellings where windows have been replaced with double-glazed windows. The motivation (energy efficiency/lower bills) and the constraints (heritage issues/appearance) are similar in both cases.</t>
  </si>
  <si>
    <t>Assumptions</t>
  </si>
  <si>
    <t>House building - started and completed</t>
  </si>
  <si>
    <t>HouseBuilding</t>
  </si>
  <si>
    <t>Table 2a</t>
  </si>
  <si>
    <t>Period</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</si>
  <si>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</si>
  <si>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</si>
  <si>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</si>
  <si>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</si>
  <si>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</si>
  <si>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</si>
  <si>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</si>
  <si>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</si>
  <si>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</si>
  <si>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</si>
  <si>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</si>
  <si>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</si>
  <si>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</si>
  <si>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</si>
  <si>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</si>
  <si>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</si>
  <si>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</si>
  <si>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</si>
  <si>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</si>
  <si>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</si>
  <si>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</si>
  <si>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</si>
  <si>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</si>
  <si>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All dwellings</t>
  </si>
  <si>
    <t>Total</t>
  </si>
  <si>
    <t xml:space="preserve">Total housing stock </t>
  </si>
  <si>
    <t>Proportion built since 2002</t>
  </si>
  <si>
    <t>Proportion that have already fitted draught stripping</t>
  </si>
  <si>
    <t>Bill savings per household (proportion)</t>
  </si>
  <si>
    <t>Add</t>
  </si>
  <si>
    <t>%age saving on fuel</t>
  </si>
  <si>
    <t>DEEP</t>
  </si>
  <si>
    <t xml:space="preserve">Savings on fuel bills between &lt;1% and 8% </t>
  </si>
  <si>
    <t>width</t>
  </si>
  <si>
    <t>height</t>
  </si>
  <si>
    <t>number</t>
  </si>
  <si>
    <t>External door perimeters  (m)</t>
  </si>
  <si>
    <t>Windows perimeters (m)</t>
  </si>
  <si>
    <t>Calculations</t>
  </si>
  <si>
    <t>Heat loss through:</t>
  </si>
  <si>
    <t>perimeter each</t>
  </si>
  <si>
    <t>total perimeter</t>
  </si>
  <si>
    <t>% of total</t>
  </si>
  <si>
    <t>windows</t>
  </si>
  <si>
    <t>Savings (percent)</t>
  </si>
  <si>
    <t>Reduce the cylinder temperature to 60°C</t>
  </si>
  <si>
    <t>Homes built before 2002</t>
  </si>
  <si>
    <t>Homes not already treated</t>
  </si>
  <si>
    <t>Number of participating households (millions)</t>
  </si>
  <si>
    <t>Bill Savings(kWh/year)</t>
  </si>
  <si>
    <t>None</t>
  </si>
  <si>
    <t>No upfront cost (combi) with shorter heating season (vulnerable households)</t>
  </si>
  <si>
    <t xml:space="preserve">*Note: for 'Doors and windows', the dwellings that upgrade windows may be different from those upgrading doors. This means that the 'Number of participating households' includes some dwellings that upgrade windows, some that upgrade doors, and some that upgrade both. This does not alter the total savings in kWh/year, but part of the savings is likely to be split across two dwellings, with one saving energy from draught-stripped windows, and another saving from draught-stripped doors.
So the 'Summary' sheet does not over-state savings, the proportion of dwellings that could adopt the measure is calculated differently from other measures. </t>
  </si>
  <si>
    <t>Reduce thermostat temperature to 19°C</t>
  </si>
  <si>
    <t>Shorter heating season (1 month)</t>
  </si>
  <si>
    <t>Applicable proportion of households</t>
  </si>
  <si>
    <t>Moving furniture away from radiators</t>
  </si>
  <si>
    <t>Bills will increase if they change at all, unless this measure is combined with turning down the thermostat or reducing radiator temperatures.</t>
  </si>
  <si>
    <t>No upfront cost (combi) with shorter heating season (other households)</t>
  </si>
  <si>
    <t>Reduce thermostat temperature to 18°C</t>
  </si>
  <si>
    <t>FINAL PACKAGE: No upfront cost (combi) with shorter heating season</t>
  </si>
  <si>
    <t>Reduce flow temperature to 60°C (lower indoor temp)*</t>
  </si>
  <si>
    <t>Reduce heating hours</t>
  </si>
  <si>
    <t>This measure applied to all homes except those with storage heaters.</t>
  </si>
  <si>
    <t>Most people do not need heat when they are away from home or overnight. Heating only when heating is required saves energy (except when using a heat pump). Some households could reduce heating hours by, for example, turning the heating off earlier at night time, or earlier during the day when they go to work.</t>
  </si>
  <si>
    <t>This does not affect thermal comfort because it does not significantly affect the temperature when the heating is on. (We assume that the heating is reactivated in good time for when it is needed again.)</t>
  </si>
  <si>
    <t>The modelling approach here is to calculate the reduction in energy use calculated by standard energy models for a range of homes representing the stock. The reduction in energy use depends on the type of heating system, because they vary in the level of control - more control for wet radiator sustems, and less for storage radiators.</t>
  </si>
  <si>
    <r>
      <rPr>
        <rFont val="Calibri"/>
        <color theme="1"/>
        <sz val="12.0"/>
      </rPr>
      <t xml:space="preserve">We used two models to calculate these savings: the Cambridge Housing Model (CHM), and the CODE model. We tested the overall impact of reducing heating hours by 5 hours each week by adjusting the regular pattern of weekday heating to start later in the evening (6-10pm instead of 5-10pm). The overall results from the two models were comparable, although the CHM results were more variable and more skewed to the high savings from </t>
    </r>
    <r>
      <rPr>
        <rFont val="Calibri"/>
        <color theme="1"/>
        <sz val="12.0"/>
      </rPr>
      <t>dwellings with uninsulated solid walls.</t>
    </r>
  </si>
  <si>
    <t>From the CHM (which has more homes for comparison) the savings are greater in homes with high heat loss per unit floor area (i.e. poorly-insulated homes). However, savings are low in homes with storage heaters, primarily because these have low responsiveness and changing the hours of heating does not change the temperature very much. These effects are shown in the chart (right), based on data from the CHM modelling.</t>
  </si>
  <si>
    <t>The savings calculated in the CHM seem to be a little lower than those found in [EFUS]. In their full regression model the coefficient for heating hours was 1.57, with the dependent variable being the square root of the gas bill. (The regression equation is not specified so this is not entirely clear, but this is our interpretation.) The coefficient value implies that starting with a bill of 12,000 kWh/year, a reduction of 1 hour/day would mean an additional 346 kWh/year or 2.9%. Our calculation yields 1.59% from a reduction of 1 hour 5 days a week - scaled up to 1 hour per day this would be 2.2%.</t>
  </si>
  <si>
    <t>In this table, low and high levels are the 25% and 75% quantiles for savings across the stock.</t>
  </si>
  <si>
    <t>Bill savings per household (%)  modelled in the CHM</t>
  </si>
  <si>
    <t>Solid walls</t>
  </si>
  <si>
    <t>Other walls</t>
  </si>
  <si>
    <t>All homes</t>
  </si>
  <si>
    <t>Turn off the 'pre-heat' facility on a combi boiler</t>
  </si>
  <si>
    <t>Storage heaters</t>
  </si>
  <si>
    <t>This measure could apply to all combi boilers with a pre-heat facility.</t>
  </si>
  <si>
    <t>Some combi boilers have a 'pre-heat' facility which means they keep the heat exchanger constantly warm. This means that hot water can be provided from the boiler more quickly. (There is still a wait for water that has cooled in the pipework to pass through.)</t>
  </si>
  <si>
    <t xml:space="preserve">The heat exchanger cools down over time, and the combi boiler has to turn on to heat it up again. However, depending on the location of the boiler, during the heating season the heat loss contributes to useful internal gains. </t>
  </si>
  <si>
    <t>Chart below from Bennett</t>
  </si>
  <si>
    <t>These savings are so small we consider it unlikely that homes would adopt this measure, so these are omitted from modelling below.</t>
  </si>
  <si>
    <t>In some models of boiler the pre-heat facility can be on a timer, in which case it is only on for part of the day, rather than all the time.</t>
  </si>
  <si>
    <t>Other electric</t>
  </si>
  <si>
    <t>SAP 10.2 models a pre-heat facility (which SAP calls 'keep-hot') as using 300 kWh/year or more, unless it is timed. If it is timed, then there may be no extra energy use, depending on the volume of flow. These figures are used in the absence of test results from actual boilers. The pre-heat can be provided by electricity instead of firing up the boiler - or a mixture of the two.</t>
  </si>
  <si>
    <t>Analysis of field data on boilers (Bennett) suggests that in practice, pre-heat facilities sometimes use less than 50 kWh/year (see chart, right) with a mean of 340 kWh/year. There is no mention of measuring electricity use for pre-heat, so it is possible that this was not included. However, the storage heat loss depends on the insulation around the store, and small values are not unreasonable.</t>
  </si>
  <si>
    <t>The Heating Hub (HHBCombi) recommends that when combi boilers do not have a pre-heat facility, a CombiSave device should be used. This restricts flow of hot water flow until it is warmed up, saving both energy and hot water. This is fitted to the hot water outlet from the boiler.</t>
  </si>
  <si>
    <t>Our modelling approach begins with comparing reports of energy use for the pre-heat function. We assume that a timed pre-heat uses a fraction of the same energy, based on the number of hours of the day it is on. The calculated energy savings take into account that some of the heat lost from the pre-heat store is useful heat gains, so additional space heating will be used to replace it when pre-heat is turned off. Most boilers are more efficient providing space heating than hot water.</t>
  </si>
  <si>
    <t>Savings for oil combi boilers are excluded from modelling. There are very few of them (less than 1% of homes) and where they do have pre-heat capability it is implemeted in a different way, so the modelling data used here for gas would not apply.</t>
  </si>
  <si>
    <t xml:space="preserve">The results from CODE are consistent with the CHM (see chart) but CHM results are used here because they cover a wider variety of homes. </t>
  </si>
  <si>
    <t>Bill savings per household (%) CODE/CHM (gas only)</t>
  </si>
  <si>
    <t>Energy use of  pre-heat facility (without a timer)</t>
  </si>
  <si>
    <t>kWh/year (heat)</t>
  </si>
  <si>
    <t>Bennett</t>
  </si>
  <si>
    <t>Based on the data in the chart above</t>
  </si>
  <si>
    <t>Energy use from timed preheat, as a proportion of turning it off - high proportion means low savings. High proportion would be 16 hours on, medium 12 hours on, Low would be 8 hours on.</t>
  </si>
  <si>
    <t>CODE</t>
  </si>
  <si>
    <t>CAR expert opinion - based on the proportion of the day when it is left on</t>
  </si>
  <si>
    <t>Combi boiler efficiency when turning on for preheat (High efficiency leads to low losses and vice versa)</t>
  </si>
  <si>
    <t>CAR expert opinion (consistent with SAP)</t>
  </si>
  <si>
    <t>Gas use for the pre-heat (untimed)</t>
  </si>
  <si>
    <t>kWh/year (gas)</t>
  </si>
  <si>
    <t>Gas use for the pre-heat (timed)</t>
  </si>
  <si>
    <t>Proportion of preheat losses useful for heat gains</t>
  </si>
  <si>
    <t>Combi boiler effiency for space heating</t>
  </si>
  <si>
    <t>Gas savings from preheat losses used as space heating (untimed)</t>
  </si>
  <si>
    <t>Installing loft insulation</t>
  </si>
  <si>
    <t>Gas savings from preheat losses used as space heating (timed)</t>
  </si>
  <si>
    <t>For homes heated with gas</t>
  </si>
  <si>
    <t>Net loss from pre-heat (untimed)</t>
  </si>
  <si>
    <t>None to 300mm**</t>
  </si>
  <si>
    <t>Net loss from pre-heat (timed)</t>
  </si>
  <si>
    <t>Oil homes</t>
  </si>
  <si>
    <t>Savings for homes heated with oil are higher because heat loss is higher - more solid walls and single glazed windows. Also they tend to be larger with a higher proportion of heat for space heating rather than DHW.</t>
  </si>
  <si>
    <t>Other electric homes</t>
  </si>
  <si>
    <t>Household savings £</t>
  </si>
  <si>
    <t>Turning off preheat completely</t>
  </si>
  <si>
    <t>Changing to a timed preheat</t>
  </si>
  <si>
    <t>Proportion of homes with a gas combi boiler</t>
  </si>
  <si>
    <t>Proportion of combi boilers with preheat</t>
  </si>
  <si>
    <t>CAR expert opinion - we have very limited information on the market share of combi boilers with a preheat facility</t>
  </si>
  <si>
    <t>Proportion of combi boilers with preheat that can be set to a timer</t>
  </si>
  <si>
    <t>Proportion of all housesholds that could turn preheat off</t>
  </si>
  <si>
    <t>Proportion of all households that could control preheat with a timer</t>
  </si>
  <si>
    <t>For homes heated with oil</t>
  </si>
  <si>
    <t>For homes heated with electricity (not storage heaters)</t>
  </si>
  <si>
    <t>Adjust timer for pre-heat</t>
  </si>
  <si>
    <t>0- 50, to 300mm**</t>
  </si>
  <si>
    <t>Mean for all homes</t>
  </si>
  <si>
    <t>Shorter heating season (early finish)</t>
  </si>
  <si>
    <t>Proportion of homes that can reduce heating hours</t>
  </si>
  <si>
    <t>Homes that have timed heating and could reduce it, or irregular habits that allow more turning off</t>
  </si>
  <si>
    <t>Proportion of all homes heated with gas</t>
  </si>
  <si>
    <t>Proportion of homes heated with oil</t>
  </si>
  <si>
    <t>Proportion of all homes heated with electricity (not storage heaters)</t>
  </si>
  <si>
    <t>Carbon savings over all households</t>
  </si>
  <si>
    <t>GHG emissions savings  (in homes using gas heating)</t>
  </si>
  <si>
    <t>kt/year</t>
  </si>
  <si>
    <t>GHG emissions savings (in homes with oil heating)</t>
  </si>
  <si>
    <t>50-100 to 300mm**</t>
  </si>
  <si>
    <t>GHG emissions savings (in homes with electric heating)</t>
  </si>
  <si>
    <t>***Note that Bill savings for Oil Packages are indicative only. The multiplicative element of the packages is based on gas savings. Strictly, it should be calculated differently for homes with oil heating. For this reason the oil savings are shown grey.</t>
  </si>
  <si>
    <t>To modify a package</t>
  </si>
  <si>
    <t>1) Add or modify the blue rows - ensuring that the corresponding value in Column J exactly matches the text in Column A of the Summary sheet. Copy Columns B-H from the examples to fetch the savings and multiplication factors from the Summary sheet.</t>
  </si>
  <si>
    <t>2) If necesssary (if the number of items in the package has changed) modify the formulae in the row 'Sum of added measures' to sum the action rows and in 'Apply savings via multiply' to multiply the action rows.</t>
  </si>
  <si>
    <t>Note: Making packages with 'Shorter heating season' or 'Reduced thermostat temperature' is complicated; you will probably need help from CAR to do this correctly.</t>
  </si>
  <si>
    <t>To add a package</t>
  </si>
  <si>
    <t>Copy an existing package and modify it as above.</t>
  </si>
  <si>
    <t>Stock level carbon savings kt/year</t>
  </si>
  <si>
    <t>Reducing hours of heating by 5 hours/week (set and forget)</t>
  </si>
  <si>
    <t>***</t>
  </si>
  <si>
    <t>Turn down the thermostat on your hot water cylinder</t>
  </si>
  <si>
    <t>This measure applies to homes with a hot water cylinder that do not need all the heat stored.</t>
  </si>
  <si>
    <t>Dwellings with a hot water cylinder should be thermostatically controlled and on a timer, so that water is not heated unnecessarily.</t>
  </si>
  <si>
    <t>It is usual to heat it to at least 60°C to kill any bacteria such as those that cause Legionnaires disease.  However this does not have to be done every day - once a week would be sufficient, if the controls allow. Such controls are common with heat pumps but not with conventional boilers. Lower temperatures avoid the risk of scalding with water from the taps. Alternatively this can be mitigated using a thermostatic mixer valve on the outlet from the cylinder, or taps/shower head.</t>
  </si>
  <si>
    <t xml:space="preserve">The higher the cylinder temperature, the more heat is stored - which means you can run more baths and showers. If you have solar panels, allowing the panels to heat to a high temperature may allow you to make more use of renewable solar energy. However, higher temperatures also increase heat loss from the cylinder. If you do not have a mixer valve it also increases losses from the pipes distributing water to taps around the dwelling. </t>
  </si>
  <si>
    <t>In hard-water areas, high cylinder temperature can exacerbate scaling up, which makes the heat exchanger less efficient.</t>
  </si>
  <si>
    <t>Changing the hot water cylinder temperature will not affect the boiler efficiency.</t>
  </si>
  <si>
    <t>The modelling approach here is to use the CHM to gather statistics on heat loss from distribution and storage of hot water, and then to adjust these values according to the change in temperature. Energy savings are calculated for different heating systems because they vary in the efficency of energy use to replace these losses. We also take into account the fact that in most cases the cylinder is inside the heated envelope of the house so some of the heat loss is  useful gains (in winter). Savings on heating the cylinder are partly offset by  additional space heating. Most boilers are more efficient providing space heating than hot water, so two different efficiencies are used.</t>
  </si>
  <si>
    <t>We have estimated household savings from a lower temperature too, with a weekly sterilisation cycle. However, this is not taken forward to the summary as it not possible  with standard controls. It is possible that even higher savings could be achieved if the controls allowed lower boiler flow temperatures to the cylinder too.</t>
  </si>
  <si>
    <t>This action is not applicable to combi boilers as they do not have a hot water cylinder (except sometimes a small keep-hot facility). We have used the term 'system boiler' for all non-combi boilers. Technically this only refers to boilers where the hot water system is sealed. However, the principles are exactly the same for regular boilers, which are not sealed and have a header tank for pressure.</t>
  </si>
  <si>
    <t xml:space="preserve">Homes with electric heating usually have a hot water cylinder with an immersion heater controlled by a thermostat. If there is no thermostat there is a risk of overheating your cylinder. If the home is on an Economy 7 tariff (or similar) then there should be a timer to ensure the cylinder is heated at cheap rate.  However, there is not always a timer. Adjusting the thermostat means taking the protective cap off and using a screwdriver to adjust the setting. This is simple enough if you are confident with DIY  (see https://www.diydata.com/problem/immersion/immersion_adjustment.php). </t>
  </si>
  <si>
    <t>Standard Operation</t>
  </si>
  <si>
    <t>Weekly Legionella cycle</t>
  </si>
  <si>
    <t>Notes</t>
  </si>
  <si>
    <t>Initial cylinder temperature</t>
  </si>
  <si>
    <t>°C</t>
  </si>
  <si>
    <t>Final cylinder temperature</t>
  </si>
  <si>
    <t>This is an average of 50°C most days and 60°C once a week. However, controls do not usually have this flexibility.</t>
  </si>
  <si>
    <t>Mean room temperature</t>
  </si>
  <si>
    <t>Distribution and storage losses (system boilers)</t>
  </si>
  <si>
    <t>CHM modelling - gas and oil boilers are similar</t>
  </si>
  <si>
    <t>CHM calculations reference temperature</t>
  </si>
  <si>
    <t>Initial losses</t>
  </si>
  <si>
    <t>Assume losses are directly proportional the temperature difference between the cylinder and the room.</t>
  </si>
  <si>
    <t>Reduced DHW temp losses</t>
  </si>
  <si>
    <t>Savings</t>
  </si>
  <si>
    <t>Gas boiler efficiency for hot water - high efficiency means low savings</t>
  </si>
  <si>
    <t>SAP10.2</t>
  </si>
  <si>
    <t>Summer efficiency for system boilers</t>
  </si>
  <si>
    <t>Gas boiler efficiency for space heating</t>
  </si>
  <si>
    <t>Reduce the hot water temperature setting on your combi boiler</t>
  </si>
  <si>
    <t>Winter efficiency for system boilers</t>
  </si>
  <si>
    <t>Proportion of losses that are useful gains</t>
  </si>
  <si>
    <t>This measure applies to homes with a combi boiler</t>
  </si>
  <si>
    <t>If you have a combi boiler you can control the temperature at which it supplies hot water to your taps and showers.</t>
  </si>
  <si>
    <t>Reducing the temperature at which hot water is supplied can make energy savings because it takes less fuel to heat the water. SAP10.2 assumes that hot water for taps is supplied at 52°C and showers at 41°C.</t>
  </si>
  <si>
    <t>However, when we use a shower or fill a bath, householders mix in sufficient water to get a comfortable temperature. If we reduce the temperature for hot water householders simply add less cold and the same amount of heat overall is used.</t>
  </si>
  <si>
    <t>The distribution loss is the heat lost from pipes that deliver water to taps, when no water is flowing. SAP assumes this is 15% of the supplied water. However, we model this as half that because in the heating season those losses are useful gains, which will have to be replaced by space heating.</t>
  </si>
  <si>
    <t>Water use calculations from SAP Appendix J</t>
  </si>
  <si>
    <t>Same as combi keep hot</t>
  </si>
  <si>
    <t>Gas saved from water heating</t>
  </si>
  <si>
    <t>Hot water temp (initial)</t>
  </si>
  <si>
    <t>SAP assumes the hot water supply is at 52°C and showers are supplied at 41°C</t>
  </si>
  <si>
    <t>Hot water temp (final)</t>
  </si>
  <si>
    <t>Cold water temp</t>
  </si>
  <si>
    <t>SAP calculates this monthly. This is an average.</t>
  </si>
  <si>
    <t>Additional gas use for space heating</t>
  </si>
  <si>
    <t>Number of people</t>
  </si>
  <si>
    <t>Hot water consumption excluding showers and baths including distribution loss</t>
  </si>
  <si>
    <t>litres/day</t>
  </si>
  <si>
    <t>This calculation is from SAP. The distribution loss is 15% but we have halved that to allow for sone of the heat loss being useful gains that will have to be replaced by space heating.</t>
  </si>
  <si>
    <t>Energy content (initial)</t>
  </si>
  <si>
    <t>Net gas savings</t>
  </si>
  <si>
    <t>Installing foil behind radiators</t>
  </si>
  <si>
    <t>Energy content (final)</t>
  </si>
  <si>
    <t>... Against filled cavity walls (as built)</t>
  </si>
  <si>
    <t>Oil boiler efficiency (water heating)</t>
  </si>
  <si>
    <t>Oil boiler efficiency (space heating)</t>
  </si>
  <si>
    <t>Other assumptions</t>
  </si>
  <si>
    <t>Gas water heating efficiency</t>
  </si>
  <si>
    <t>Oil saved from water heating</t>
  </si>
  <si>
    <t>High efficiency reduces savings</t>
  </si>
  <si>
    <t>Oil water heating effiiciency</t>
  </si>
  <si>
    <t>Additional oil use for space heating</t>
  </si>
  <si>
    <t>Net oil savings</t>
  </si>
  <si>
    <t>Reduce DHW temperature</t>
  </si>
  <si>
    <t>Proportion of gas boilers that are system boilers</t>
  </si>
  <si>
    <t>Add uncertainy bands to account for scaling from England to the UK</t>
  </si>
  <si>
    <t>Proportion of oil boilers that are system boilers</t>
  </si>
  <si>
    <t>Proportion of households with a system boiler who can turn down the cylinder temperature without running out of hot water</t>
  </si>
  <si>
    <t>Proportion of all UK households (gas)</t>
  </si>
  <si>
    <t>Proportion of homes with an oil combi boiler</t>
  </si>
  <si>
    <t>Proportion of all UK households (oil)</t>
  </si>
  <si>
    <t>… against retrofit filled cavity walls</t>
  </si>
  <si>
    <t>Reduce DHW temperature to 45°C (low savings), 42°C, or 40°C (high savings)</t>
  </si>
  <si>
    <t>Reduce the cylinder temperature to 50°C with a weekly Legionella cycle</t>
  </si>
  <si>
    <t>… against solid walls or unfilled cavity walls</t>
  </si>
  <si>
    <t>Load compensation for boilers</t>
  </si>
  <si>
    <t>Weather compensation for boilers</t>
  </si>
  <si>
    <t>This measure could apply to most homes with wet heating systems.</t>
  </si>
  <si>
    <t xml:space="preserve">When a radiator is obstructed by furniture it is less effective at transferring heat into the room. Radiators transfer heat by a combination of radiation and convection. The obstruction restricts convection, because this relies on free  air flow. This means a higher proportion of the transfer is by convection. Radiant transfer is also intercepted by the obstruction, which warms as a result. This heat is ultimately transferred into the room but it takes longer to get there. </t>
  </si>
  <si>
    <t>The obstructed radiators give lower thermal comfort too, because there is less radiant heat falling on the occupants.</t>
  </si>
  <si>
    <t xml:space="preserve">We adapted the CODE model to examine the effects of adding obstacles in front of a radiator. We introduced radiator obstructions by reducing the capacity of the radiator and by increasing the radiative component in step. Initially, radiators transfer 30% by radiation and 70% by convection. The capacity reduction is taken from the convection only, so when capacity is reduced by 20% we increase the radiatiant fraction from 30% to 37.5%. </t>
  </si>
  <si>
    <t>When an obstacle is removed, the radiator becomes more efficient and heats the room more quickly. This uses more energy rather than less. Also, the radiant heat absorbed by an obstruction it continues to heat the room when the heating is off. This uses more energy and when the obstruction is removed the effect reverses, giving savings. For small obstacles, the stored radiant heat has the greater effect and gas consumption increases, but the effect is small. With  significant obstacles, the increased capacity wins out and heating energy demand increases.</t>
  </si>
  <si>
    <t>There are two other potential effects from the clearing obstructions from the radiators. These are indirect and require additional behaviours. It is possible that the household has turned up the thermostat in an attempt to offset the problem with heating. If this is the case, they could turn down the thermostat a little, which will save energy. In addition, it is possible that improvement in radiator efficiency could enable turning down the flow temperature, with improvement in boiler efficiency. We have not included these effects in the modelling here.</t>
  </si>
  <si>
    <t>Overall, our modelling indicates that there are no significant heat savings from removing obstructions from radiators and if anything heating demand is likely to increase.</t>
  </si>
  <si>
    <t>Modelling with 12 CODE archetypes</t>
  </si>
  <si>
    <t>Savings (%)</t>
  </si>
  <si>
    <t>Reduction in capacity</t>
  </si>
  <si>
    <t>median</t>
  </si>
  <si>
    <t>lower quartile</t>
  </si>
  <si>
    <t>upper quartile</t>
  </si>
  <si>
    <t>weighted mean</t>
  </si>
  <si>
    <t>For this case we excluded one archetype where the effect of the obstruction was so great it did not heat the house effectively.</t>
  </si>
  <si>
    <t>Impact of furniture on radiator heating capacity</t>
  </si>
  <si>
    <t>According to CIBSE a radiator in a cabinet with a grill at the front has 30% less heating emissions. This is our medium case - perhaps equivalent to a radiator half blocked by armchairs. The high case could be a radiator largely obstructed by a sofa and the low case, a radiator with a table in front.</t>
  </si>
  <si>
    <t>CAR expert opinion as described, left</t>
  </si>
  <si>
    <t>Proportion of radiators impacted per house</t>
  </si>
  <si>
    <t>Overall impact on radiator capacity in affected homes</t>
  </si>
  <si>
    <t>Impact of furniture on gas use in affected homes, for gas heated homes - from the modelling above</t>
  </si>
  <si>
    <t>NOTE: Savings cannot be simply added together because they interact in complex ways. This would over-estimate true potential savings. The 'Packages' sheet allows users to combine measures.</t>
  </si>
  <si>
    <t>Total ann. Energy use in UK homes</t>
  </si>
  <si>
    <t>TWh/y</t>
  </si>
  <si>
    <t>*'Proportion of dwellings that could adopt the measure' is calculated differently for draught stripping, to avoid double counting.</t>
  </si>
  <si>
    <t>**Indicative gas savings are calculated by dividing kWh savings by typical gas use, with the exception of loft insulation, because homes with no loft insulation have very high gas use, which distorts the percentages.</t>
  </si>
  <si>
    <t>This measure could apply to all homes who do not already close curtains at night.</t>
  </si>
  <si>
    <r>
      <rPr>
        <rFont val="Calibri"/>
        <color theme="1"/>
        <sz val="12.0"/>
      </rPr>
      <t>SAP 10.2 assumes that all windows have curtains and curtains are closed for half the time. They assume curtains have an effective resistance of 0.04 m</t>
    </r>
    <r>
      <rPr>
        <rFont val="Calibri"/>
        <color theme="1"/>
        <sz val="12.0"/>
        <vertAlign val="superscript"/>
      </rPr>
      <t>2</t>
    </r>
    <r>
      <rPr>
        <rFont val="Calibri"/>
        <color theme="1"/>
        <sz val="12.0"/>
      </rPr>
      <t>K/W (based on. 0.08 m</t>
    </r>
    <r>
      <rPr>
        <rFont val="Calibri"/>
        <color theme="1"/>
        <sz val="12.0"/>
        <vertAlign val="superscript"/>
      </rPr>
      <t>2</t>
    </r>
    <r>
      <rPr>
        <rFont val="Calibri"/>
        <color theme="1"/>
        <sz val="12.0"/>
      </rPr>
      <t>K/W for half the time, i.e. 12/24 hours).</t>
    </r>
  </si>
  <si>
    <t>We have used the Cambridge Housing Model, which is based on SAP and has the same curtain resistance factor, to test the annual saving by area and type of window.</t>
  </si>
  <si>
    <t>In practice, the savings vary considerably depending on the curtain and other factors. Savings are greatest for a single-glazed  window above a radiator and the curtains are tucked behind it (up to 30%). Savings are lower for double-glazed windows, or where there is no radiator, or where the curtain is not well fitted into the reveal so that air can move freely around it. [Salford]</t>
  </si>
  <si>
    <t>Our approach starts with using the CHM to estimate the annual energy savings by area of window, single or double and by fuel type. The CHM was run with and without the closed curtains assumption. Differences by fuel are mainly to do with efficiency. We then scale up to a household using the average area of windows and the average proportion of single and double glazing.</t>
  </si>
  <si>
    <t>Closing curtains at night improves thermal comfort because it increases the radiative temperature in the room, by hiding the cold glass surface, and it also reduces draughts in the vicinity of the window</t>
  </si>
  <si>
    <t>In this table and chart, low and high levels are the 25% and 75% quantiles for savings across the stock.</t>
  </si>
  <si>
    <t>Savings (modelled in the CHM) by window area</t>
  </si>
  <si>
    <t>Gas low</t>
  </si>
  <si>
    <t>Gas Mean</t>
  </si>
  <si>
    <t>Gas high</t>
  </si>
  <si>
    <t>Oil low</t>
  </si>
  <si>
    <t>Oil Mean</t>
  </si>
  <si>
    <t>Oil high</t>
  </si>
  <si>
    <t>Elec low</t>
  </si>
  <si>
    <t>Elec Mean</t>
  </si>
  <si>
    <t>Elec high</t>
  </si>
  <si>
    <t>Closing curtains on single glazed windows</t>
  </si>
  <si>
    <r>
      <rPr>
        <rFont val="Calibri"/>
        <color theme="1"/>
        <sz val="12.0"/>
      </rPr>
      <t>kWh/m</t>
    </r>
    <r>
      <rPr>
        <rFont val="Calibri"/>
        <color theme="1"/>
        <sz val="12.0"/>
        <vertAlign val="superscript"/>
      </rPr>
      <t>2</t>
    </r>
    <r>
      <rPr>
        <rFont val="Calibri"/>
        <color theme="1"/>
        <sz val="12.0"/>
      </rPr>
      <t>/year</t>
    </r>
  </si>
  <si>
    <t>Closing curtains on double glazed windows</t>
  </si>
  <si>
    <r>
      <rPr>
        <rFont val="Calibri"/>
        <color theme="1"/>
        <sz val="12.0"/>
      </rPr>
      <t>kWh/m</t>
    </r>
    <r>
      <rPr>
        <rFont val="Calibri"/>
        <color theme="1"/>
        <sz val="12.0"/>
        <vertAlign val="superscript"/>
      </rPr>
      <t>2</t>
    </r>
    <r>
      <rPr>
        <rFont val="Calibri"/>
        <color theme="1"/>
        <sz val="12.0"/>
      </rPr>
      <t>/year</t>
    </r>
  </si>
  <si>
    <t>Dwelling factors by fuel (data from the CHM)</t>
  </si>
  <si>
    <t>Typical area of windows (m2)</t>
  </si>
  <si>
    <t>m2</t>
  </si>
  <si>
    <t>Proportion of windows that are single glazed</t>
  </si>
  <si>
    <t>Proportion of windows where curtains are not closed</t>
  </si>
  <si>
    <t>Proportion of windows where curtains are currently left open, in homes which do not already close curtains for all windows.</t>
  </si>
  <si>
    <t>Treating windows with film</t>
  </si>
  <si>
    <t>Typical household bill savings , based on the typical area of windows</t>
  </si>
  <si>
    <t>This measure could apply to almost all homes.</t>
  </si>
  <si>
    <t>Window film is a form of temporary secondary glazing. It has two effects: reducing draughts and reducing conductive heat loss through the glass. Research suggests savings of 25% on heat loss through the centre of the pane. However, there are very few studies on this.</t>
  </si>
  <si>
    <t>Proportion of UK homes</t>
  </si>
  <si>
    <r>
      <rPr>
        <rFont val="Calibri"/>
        <color theme="1"/>
        <sz val="12.0"/>
      </rPr>
      <t>The impact of draught fixing is minor, averaged over the stock. However, the effect of reducing heat loss through windows is considerable, because windows lose a lot of heat: up to 10 times as much per m</t>
    </r>
    <r>
      <rPr>
        <rFont val="Calibri"/>
        <color theme="1"/>
        <sz val="12.0"/>
        <vertAlign val="superscript"/>
      </rPr>
      <t>2</t>
    </r>
    <r>
      <rPr>
        <rFont val="Calibri"/>
        <color theme="1"/>
        <sz val="12.0"/>
      </rPr>
      <t xml:space="preserve"> as walls.</t>
    </r>
  </si>
  <si>
    <t xml:space="preserve">For the conductive heat losses we used the figure of 25% reduction in conductive heat loss, based on the study of StormGuard secondary glazing film by R Fitton (2014). (Note that other brands are available, and these likely have similar performance.) Savings can be higher, in the case of windows that were draughty, or lower because of poor installation. </t>
  </si>
  <si>
    <r>
      <rPr>
        <rFont val="Calibri"/>
        <color theme="1"/>
        <sz val="12.0"/>
      </rPr>
      <t>The modelling approach starts by using the CHM to model savings per unit area of window. We reduced draughts through doors and windows by half and we added thermal resistance to each of 0.07 m</t>
    </r>
    <r>
      <rPr>
        <rFont val="Calibri"/>
        <color theme="1"/>
        <sz val="12.0"/>
        <vertAlign val="superscript"/>
      </rPr>
      <t>2</t>
    </r>
    <r>
      <rPr>
        <rFont val="Calibri"/>
        <color theme="1"/>
        <sz val="12.0"/>
      </rPr>
      <t>K/W - equivalent to a 25% reduction in heat flow for a single-glazed window with timber frames. The savings vary considerably depending on the type of window- much more for single glazing than double glazing - so we keep these calculations separate. This is then scaled to household level assuming a typical area of window of each type. Electrically heated homes tend to be smaller and have fewer windows, oil heated homes are larger with more windows, and a higher proportion of single-glazed windows.</t>
    </r>
  </si>
  <si>
    <t>In this table (and the chart), low and high levels are the 25% and 75% quantiles for savings across the stock.</t>
  </si>
  <si>
    <t>Film on single-glazed windows</t>
  </si>
  <si>
    <t>single glazing</t>
  </si>
  <si>
    <r>
      <rPr>
        <rFont val="Calibri"/>
        <color theme="1"/>
        <sz val="12.0"/>
      </rPr>
      <t>kWh/m</t>
    </r>
    <r>
      <rPr>
        <rFont val="Calibri"/>
        <color theme="1"/>
        <sz val="12.0"/>
        <vertAlign val="superscript"/>
      </rPr>
      <t>2</t>
    </r>
    <r>
      <rPr>
        <rFont val="Calibri"/>
        <color theme="1"/>
        <sz val="12.0"/>
      </rPr>
      <t>/year</t>
    </r>
  </si>
  <si>
    <t>Film on double-glazed windows</t>
  </si>
  <si>
    <r>
      <rPr>
        <rFont val="Calibri"/>
        <color theme="1"/>
        <sz val="12.0"/>
      </rPr>
      <t>kWh/m</t>
    </r>
    <r>
      <rPr>
        <rFont val="Calibri"/>
        <color theme="1"/>
        <sz val="12.0"/>
        <vertAlign val="superscript"/>
      </rPr>
      <t>2</t>
    </r>
    <r>
      <rPr>
        <rFont val="Calibri"/>
        <color theme="1"/>
        <sz val="12.0"/>
      </rPr>
      <t>/year</t>
    </r>
  </si>
  <si>
    <r>
      <rPr>
        <rFont val="Calibri"/>
        <color theme="1"/>
        <sz val="12.0"/>
      </rPr>
      <t>m</t>
    </r>
    <r>
      <rPr>
        <rFont val="Calibri"/>
        <color theme="1"/>
        <sz val="12.0"/>
        <vertAlign val="superscript"/>
      </rPr>
      <t>2</t>
    </r>
  </si>
  <si>
    <t>double glazing</t>
  </si>
  <si>
    <t>Modifying household factors</t>
  </si>
  <si>
    <t>Factor for savings per unit area - depending on installation quality and initial draughtiness of windows</t>
  </si>
  <si>
    <t>Total kWh</t>
  </si>
  <si>
    <t>Typical household bill savings, based on the typical area of windows</t>
  </si>
  <si>
    <t>Total £/year</t>
  </si>
  <si>
    <t>Single glazing</t>
  </si>
  <si>
    <t>Proportion of homes where some windows do not have closed curtains at night</t>
  </si>
  <si>
    <t>According to [ONSwellbeing], 51% of adults said they closed all the curtains at night to keep the heat in, but this is not precise.</t>
  </si>
  <si>
    <t>Double glazing</t>
  </si>
  <si>
    <t>The CHM model assumed a curtain resistance of 0.04, based on a resistance of 0.08 half the time. Here we calculate the corrsponding savings to compare with the literature below.</t>
  </si>
  <si>
    <t>Curtains - thermal resistance</t>
  </si>
  <si>
    <t>Impact on double glazing</t>
  </si>
  <si>
    <t>U-value</t>
  </si>
  <si>
    <t>Resistance</t>
  </si>
  <si>
    <t>Add curtains</t>
  </si>
  <si>
    <t>Resulting U-value</t>
  </si>
  <si>
    <t>Heat savings</t>
  </si>
  <si>
    <t>Double glazing U-value</t>
  </si>
  <si>
    <t>Potential Uptake</t>
  </si>
  <si>
    <t>In some cases there is not enough space between the window and the frame surface to install window film.</t>
  </si>
  <si>
    <t>CAR expert opinion, plus [Walnut] figure of 94% households 'still available'.</t>
  </si>
  <si>
    <t>Number of participating households</t>
  </si>
  <si>
    <t>Single glazing U-value</t>
  </si>
  <si>
    <t>Secondary glazing</t>
  </si>
  <si>
    <t>Number of homes</t>
  </si>
  <si>
    <t>Literature review</t>
  </si>
  <si>
    <t>Historic England</t>
  </si>
  <si>
    <t>Heavy curtains mounted outside the reveal</t>
  </si>
  <si>
    <t>R-value</t>
  </si>
  <si>
    <t>Resistance of covering</t>
  </si>
  <si>
    <t>%age savings</t>
  </si>
  <si>
    <t>Table 1  black window</t>
  </si>
  <si>
    <t>+ curtains</t>
  </si>
  <si>
    <t>Table 2</t>
  </si>
  <si>
    <t>+ honeycomb blind in reveal</t>
  </si>
  <si>
    <t>+ honeycomb blind outside reveal</t>
  </si>
  <si>
    <t>Salford test on sash windows with single glazing</t>
  </si>
  <si>
    <t>Lined curtains</t>
  </si>
  <si>
    <t>Initial U-value</t>
  </si>
  <si>
    <t>Final U-value</t>
  </si>
  <si>
    <t>Living room</t>
  </si>
  <si>
    <t>Curtain tucked behind radiator</t>
  </si>
  <si>
    <t>Kitchen</t>
  </si>
  <si>
    <t>Roller blind, bottom on window (no rad)</t>
  </si>
  <si>
    <t>Bedroom 1</t>
  </si>
  <si>
    <t>Lined curtain drapes below sill</t>
  </si>
  <si>
    <t>Bedroom 2</t>
  </si>
  <si>
    <t>Bathroom</t>
  </si>
  <si>
    <t>Roller blind bottom on windowsill (above rad)</t>
  </si>
  <si>
    <t>Add window film to all single glazed windows</t>
  </si>
  <si>
    <t>Fitting foil behind radiators on external walls</t>
  </si>
  <si>
    <t>This measure could apply to almost all homes with wet heating systems.</t>
  </si>
  <si>
    <t>When a radiator on an external wall heats up it heats up the wall as well as the room. The wall becomes warmer than adjacent sections and there is higher heat loss. This is often seen in infrared images of homes, especially those with uninsulated solid walls. The heat loss can be reduced by installing a thin reflective panel into the spacel behind the radiator. This can even by a piece of cardboard covered with ordinary kitchen foil. The foil helps to reflect the heat back into the room rather than heating up the wall.</t>
  </si>
  <si>
    <t>There is very limited evidence however. A report evaluating a product called Radflek (for radiator reflector) shows heat loss through the wall reduced by nearly half. There are errors in calculations in the report, but we were able to use the raw data and avoid the errors.</t>
  </si>
  <si>
    <t>Heat transfer to the wall at that distance will be mainly from radiation rather than convection and determined by the temperature of the radiator. Thus we can expect similar savings for different types of radiator, depending only on the surface temperature. There are bigger savings from walls with higher conductive losses.</t>
  </si>
  <si>
    <t>Our approach for modelling this is first to use the test results to estimate heat savings by area of radiator against the wall. This is different depending oon the type of wall. Then we use this to estimate the fraction of space heating lost (depending on the proportion  of radiators against external walls, and the heat output of the radiator relative to the heat losses).</t>
  </si>
  <si>
    <t>This measure only applies to wet heating systems, so homes using gas or oil for heating.</t>
  </si>
  <si>
    <t>Radflek test results</t>
  </si>
  <si>
    <t>The tests were conducted on two walls, one with U-value 1.1 W/m2K. and a second one with U-value 2.1. The tests measured temperature at the surface of the radiator and the inner and outer surfaces of the wall as as well as the cold box surrounding the test setup.</t>
  </si>
  <si>
    <t>We have plotted the results from the analysis (left) in the chart below.</t>
  </si>
  <si>
    <t>Then used interpolation from the chart to estimate savings from different types of wall.</t>
  </si>
  <si>
    <t>Test measurements - from Radflek</t>
  </si>
  <si>
    <t>wall1</t>
  </si>
  <si>
    <t>wall2</t>
  </si>
  <si>
    <t>W/m2K</t>
  </si>
  <si>
    <t>No sheet</t>
  </si>
  <si>
    <t>with sheet</t>
  </si>
  <si>
    <t>rad temp</t>
  </si>
  <si>
    <t>K</t>
  </si>
  <si>
    <t>inner wall</t>
  </si>
  <si>
    <t>outer wall</t>
  </si>
  <si>
    <t>cold box</t>
  </si>
  <si>
    <t>Heat flow analysis</t>
  </si>
  <si>
    <t>Temp diff across wall</t>
  </si>
  <si>
    <t>U-value adjusted for surface resistance</t>
  </si>
  <si>
    <t>Installing or topping up loft insulation</t>
  </si>
  <si>
    <t>Heat flow</t>
  </si>
  <si>
    <t>This measure could apply to almost all homes that have a pitched roof not converted to an attic.</t>
  </si>
  <si>
    <t>W/m2</t>
  </si>
  <si>
    <t>Most homes have some loft insulation already but there are around 265,000 that do not. There are diminishing returns to adding more top-up insulation, but it is still worth doing in many cases. The shape and size of the dwelling matters: this is more important for homes with a large area of roof.</t>
  </si>
  <si>
    <t>Heat saving from the sheet</t>
  </si>
  <si>
    <t>Adding loft insulation improves thermal comfort in the rooms below the roof. It can help keep rooms cool in summer as well as retaining  heat in winter. It can also alleviate problems with cold spots and mould on ceilings.</t>
  </si>
  <si>
    <t>Loft insulation is hard to add in homes where there is a room in roof or a flat roof. We only consider pitched roofs without a room in roof. Also, where homes have upper rooms with sloping ceilings that are part of the roof, it may not  be possible to insulate these areas without blocking ventilation to roof timbers. Ignoring this can lead to condensation and mould.</t>
  </si>
  <si>
    <t>The modelling approach starts with using the CHM to model savings from adding to the existing loft insulation, per unit area of roof. We  modelled the savings starting with six different levels of insulation and topping up to 300mm. The benefits are very large if you start with none, but they dimininish rapidly. The savings for oil-heated homes are very similar to gas homes with the same level of insulation. For electrically heated homes, the differences are a little greater, mainly due to different heating efficiency. We also used data from the CHM to determine the proportion of the stock with different levels of insulation. These proportions vary little with different fuel types.</t>
  </si>
  <si>
    <t>National statistics on energy savings from (top-up) loft insulation (NEED) report a mean 3% saving for loft insulation (approx. £30/year), with a median of 4%.  This is a little less than our estimate for a top-up from 100-150mm to 300mm. However, savings can be much higher for homes starting with less insulation.</t>
  </si>
  <si>
    <t>The number of homes in the table below reflects the number of homes in the CHM dataset, which represent homes in England only. This is scaled to UK in Rows 45 to 52. We modelled only homes with a pitched roof and no room in roof, and homes with inaccessible lofts were excluded.</t>
  </si>
  <si>
    <t>CHM Modelling results, savings/roof area  (kWh/m2)</t>
  </si>
  <si>
    <t>Effective U-value between the radiator and the wall - this assumes that heat transfer is linear depending on the radiator surface temperature and the outside temperature</t>
  </si>
  <si>
    <t>Electric</t>
  </si>
  <si>
    <t>Mean roof area</t>
  </si>
  <si>
    <t>Savings (W/m2)</t>
  </si>
  <si>
    <t>Adustment for mean winter conditions</t>
  </si>
  <si>
    <t>Bill savings %age</t>
  </si>
  <si>
    <t>None to 300mm</t>
  </si>
  <si>
    <t>Tdiff for 50-rad to 5-ext</t>
  </si>
  <si>
    <t>0- 50, to 300mm</t>
  </si>
  <si>
    <t>50-100 to 300mm</t>
  </si>
  <si>
    <t>100-150 to 300mm</t>
  </si>
  <si>
    <t>150-200 to 300mm</t>
  </si>
  <si>
    <t>200-250 to 300mm</t>
  </si>
  <si>
    <t>More than 300mm</t>
  </si>
  <si>
    <t>Electrically heated homes tend to be smaller and oil heated homes larger. For calculating household savings we use a typical roof size, which is different for each fuel - based on the data in the CHM.</t>
  </si>
  <si>
    <t>Roof area</t>
  </si>
  <si>
    <t>Householder savings from upgrading loft insulation kWh/year</t>
  </si>
  <si>
    <t>Adjustment for higher radiator temperature 60C</t>
  </si>
  <si>
    <t>UK proportion of homes</t>
  </si>
  <si>
    <t>Tdiff for 60-rad to 5-ext</t>
  </si>
  <si>
    <t>UK Total proportion of homes</t>
  </si>
  <si>
    <t>Normalised</t>
  </si>
  <si>
    <t>Based on the data on external wall U-values in the CHM (see chart) we have chosen three typical U-values and classified the dwellings into three groups according to which they are closest to.</t>
  </si>
  <si>
    <t>The savings for these U-values have been calculated by interpolating from the results above.</t>
  </si>
  <si>
    <t>Modern cavity walls - low U-values up to 0.5</t>
  </si>
  <si>
    <t>Retrofit filled cavity - 0.5 to 1.0</t>
  </si>
  <si>
    <t>Solid or  unfilled cavity - 1.5 to 2.5</t>
  </si>
  <si>
    <t>Savings as a proportion of household bill - depends on radiator type</t>
  </si>
  <si>
    <t>Radiator output W/m2</t>
  </si>
  <si>
    <t>Type of wall</t>
  </si>
  <si>
    <t>1 to 50mm</t>
  </si>
  <si>
    <t>As-built insulated cavity walls</t>
  </si>
  <si>
    <t>%age of space heating</t>
  </si>
  <si>
    <t>Retrofit filled cavity</t>
  </si>
  <si>
    <t>Solid or  unfilled cavity</t>
  </si>
  <si>
    <t>Install  a smart thermostat, one with load compensation, or weather-compensating controls.</t>
  </si>
  <si>
    <t>This measure could apply to all homes with modulating boilers that are compatible with OpenTherm</t>
  </si>
  <si>
    <t>51-100mm</t>
  </si>
  <si>
    <t>Other household factors</t>
  </si>
  <si>
    <t xml:space="preserve">Load compensation and weather compensation work with modulating boilers to adjust the power output according to either heating demand in rooms ('load compensation'), or the outdoor temperature ('weather compensation'). Lower power generally means a lower flow temperature, which also means a lower return temperature - so the boiler runs in condensing mode more of the time. However, the temperature difference between flow and return also reduces unless the boiler has an integrated circulation pump and lowers the speed as well. </t>
  </si>
  <si>
    <t>Load-compensating controllers adjust the power output according to the difference between the internal temperature and the target temperature. If the internal temperature is too low, the power is increased, and vice versa.</t>
  </si>
  <si>
    <t xml:space="preserve">Weather-compensating controllers adjust the power output according to the temperature outside. They use either  a physical sensor, or temperature information from sources on the internet . When it is cold the power output is increased and vice versa. The relationship is set by a curve which can be adjusted up or down, depending on the dwelling heat losses. Getting this right requires either careful calculation or experiment.  In University of Salford tests [SalfordTherm] -the weather compensating controls failed to heat rooms adequately until the heating system was optimised by balancing the radiators, range rating the boiler, and setting an appropriate pump speed. </t>
  </si>
  <si>
    <t>When they are set correctly, weather compensating controls  give a slower response than load-compensating controls. This makes them less suited to intermittent heating (but good for heat pumps).</t>
  </si>
  <si>
    <t>Proportion of radiators on external walls</t>
  </si>
  <si>
    <t>Intelligent thermostats such as NEST can automatically adjust heating schedules and set-point temperatures according to the requirements of the occupants. Most systems use presence sensors to do this.</t>
  </si>
  <si>
    <t xml:space="preserve">SAP reports higher savings from load-compensating controls in oil boilers compared to gas, but the opposite for weather compensation.  However, the product characteristics database lists only two modulating controllers for oil boilers - both Class VIII, which is a combination of load compensation with zone controls. Also  multiple sources report that most oil boilers cannot modulate, so very few installed systems would be able to benefit.  Further, few oil boilers support OpenTherm. Overall the potential uptake for modulating controls on oil boilers is not significant. </t>
  </si>
  <si>
    <t>CAR expert opinion - radiators are often positioned below windows in which case they are always on external walls</t>
  </si>
  <si>
    <t>Efficiency savings for different types of controls, summary of data from all sources</t>
  </si>
  <si>
    <t>Proportion of radiators with inaccessible spaces</t>
  </si>
  <si>
    <t>CAR expert opinion - rads may be enclosed or awkwards positioned below projecting windows sills</t>
  </si>
  <si>
    <t>Uncertainy in savings from sheet</t>
  </si>
  <si>
    <t>Class IV
TPI</t>
  </si>
  <si>
    <t xml:space="preserve">Class V 
Load </t>
  </si>
  <si>
    <t xml:space="preserve">Class VI
Weather </t>
  </si>
  <si>
    <t>Smart
(NEST)</t>
  </si>
  <si>
    <t>Smart</t>
  </si>
  <si>
    <t xml:space="preserve">CAR expert opinion </t>
  </si>
  <si>
    <t>Reference key</t>
  </si>
  <si>
    <t>All household factors</t>
  </si>
  <si>
    <t>SAP 10.2</t>
  </si>
  <si>
    <t>101-150mm</t>
  </si>
  <si>
    <t>These are the efficiency gains at 80/60 or 70/60 flow-return settings, so without reducing flow temperature</t>
  </si>
  <si>
    <t>Typical household savings from installing foil sheet (kWh/year)</t>
  </si>
  <si>
    <t>Note Ofgem price caps do not specify difference between peak and non-peak rate</t>
  </si>
  <si>
    <t>Salford - initial</t>
  </si>
  <si>
    <t>SalfordTherm</t>
  </si>
  <si>
    <t>Weather compensating controls failed to achieve comfort heating in the initial phase.</t>
  </si>
  <si>
    <t>Salford - after tuning</t>
  </si>
  <si>
    <t>BRE: Ecodesign regulations</t>
  </si>
  <si>
    <t>BRE-controls</t>
  </si>
  <si>
    <t>These are the efficiency improvemets relative to Class I</t>
  </si>
  <si>
    <t>Behavioural Insights Team</t>
  </si>
  <si>
    <t>6.5% +/- 5%</t>
  </si>
  <si>
    <t>4.5% +/- 1.2%</t>
  </si>
  <si>
    <t>NEST</t>
  </si>
  <si>
    <t>151-200mm</t>
  </si>
  <si>
    <t>Efficiency savings (gas and oil)</t>
  </si>
  <si>
    <t>Modern cavity wall</t>
  </si>
  <si>
    <t>Smart thermostat</t>
  </si>
  <si>
    <t>CAR Expert opinion based on NEST study</t>
  </si>
  <si>
    <t>Load compensation</t>
  </si>
  <si>
    <t>CAR Expert opinion based on the range of different results</t>
  </si>
  <si>
    <t>Weather compensation</t>
  </si>
  <si>
    <t>201-250mm</t>
  </si>
  <si>
    <t>Smart thermostat (gas)</t>
  </si>
  <si>
    <t>251-350mm</t>
  </si>
  <si>
    <t>Homes with inaccessible lofts</t>
  </si>
  <si>
    <t>retrofit filled cavity</t>
  </si>
  <si>
    <t>Proportion of homes that can upgrade loft insulation</t>
  </si>
  <si>
    <t>Smart thermostat (oil)</t>
  </si>
  <si>
    <t>Solid or unfilled cavity</t>
  </si>
  <si>
    <t>Load compensation (gas)</t>
  </si>
  <si>
    <t>Typical household savings from installing foil sheet (£/year)</t>
  </si>
  <si>
    <t>Load compensation (oil)</t>
  </si>
  <si>
    <t>Weather compensation (gas)</t>
  </si>
  <si>
    <t>Weather compensation (oil)</t>
  </si>
  <si>
    <t>Proportion of boilers with modulation capability</t>
  </si>
  <si>
    <t>CAR expert opinion based on the list of Opentherm compatible boilers [Opentherm]</t>
  </si>
  <si>
    <t>Proportion of homes that already have smart thermostats</t>
  </si>
  <si>
    <t>Proportion of homes with boilers that can install smart thermostat</t>
  </si>
  <si>
    <t>Total proportion of homes</t>
  </si>
  <si>
    <t>Install TRVs on radiators</t>
  </si>
  <si>
    <t>This measure could be applied to a) homes without TRVs, or b) homes with TRVs that are not fully utilised</t>
  </si>
  <si>
    <t>Thermostatic Radiator Valves (TRVs) are now common in UK homes, but they are often left open - set to maximum temperature - and unused. This measure addresses the twin problems of a) TRVs not being installed in some homes and b) even when TRVs are installed on all radiators, they are commonly left at maximum settings. To achieve savings, TRVs should be adjusted according to household needs, with lower temperatures in bedrooms and other non-living areas. TRVs are modelled here as two separate measures - from no TRVs to with TRVs, and from TRVs on all radiators to correctly adjusted TRVs.</t>
  </si>
  <si>
    <t>In SAP10, living areas are heated to 21°C and other areas are cooler, depending on the heat loss parameter and heating controls, and commonly 18 to 20°C. Low heat loss means a smaller difference betend to increase the difference. EFUS reports very similar average temperatures in the living room and bedrooms (0.5°C difference to main bedroom and 0.8°C difference to a third bedroom). This suggests that there is room for savings, although some households - such as those with a health problem - need warmer bedrooms.</t>
  </si>
  <si>
    <t xml:space="preserve">Merely fitting TRVs makes no savings: it is the adjustment that matters, and precisely how TRVs are set up is ambiguous in SAP. This makes it difficult to generalise across the stock and there is very little field data. </t>
  </si>
  <si>
    <t>We used two approaches to estimate savings. The first was based on modelling homes with and without TRVs using the CHM. We compared total gas use for homes that did have TRVs with the same homes without TRVs. Taken as a proportion of the bill, there was very little difference between gas boiler cases and oil boiler cases, so we used the same values for both.</t>
  </si>
  <si>
    <t>The second approach used a study at the Salford Energy House (Timmins) which measured gas heating requirements at a range of external temperatures. It was not possible to achieve 18°C in the bedrooms because the heating could not modulate low enough, so the regime used was 24°C and 21°C.  At a lower temperature the savings would be a little higher, because part of the heating energy is used for hot water, and this would not be affected by TRVs.</t>
  </si>
  <si>
    <t>UK proportion of homes with…</t>
  </si>
  <si>
    <t>Reported results</t>
  </si>
  <si>
    <t>Fuel</t>
  </si>
  <si>
    <t>Mean</t>
  </si>
  <si>
    <t>Electricity*</t>
  </si>
  <si>
    <t>Timmins - space heating only</t>
  </si>
  <si>
    <t>This is based on tests at a range of external temperatures in a test house under controlled conditions, thermostat 24C and TRVs 21C.</t>
  </si>
  <si>
    <t>Timmins  - adjusted for the whole bill (reflecting DHW heating)</t>
  </si>
  <si>
    <t>Installing TRVs and adjusting them. High savings assume 3°C lower bedrooms, bathrooms, kitchen and halls, as in Timmins.</t>
  </si>
  <si>
    <t>Low/high bands reflect uncertainty in scaling from England to the UK</t>
  </si>
  <si>
    <t>Since the Timmins study was set for a 3°C difference and under 'lab conditions', e.g. with internal doors closed, we use this as the maximum saving. The low estimate reflects savings modelled in the CHM.</t>
  </si>
  <si>
    <t>Adjusting TRVs that are already installed and partially adjusted, 1.5°C lower non-living rooms.</t>
  </si>
  <si>
    <t>Assuming 'partial adjustment' achieves 1.5°C, and the new adjustment achieves another 1.5°C lower temperature in non-living rooms.</t>
  </si>
  <si>
    <t xml:space="preserve">*Note that load compensation or weatehr compensation would bring no benefit for storage heaters - whch is why no savings are shown here. </t>
  </si>
  <si>
    <t>A small proportion of homes (less than 1%) have electric boilers. These would benefit from load or weather compensation, but they are excluded here because there are few of them.</t>
  </si>
  <si>
    <t>Installing TRVs  (1.5°C cooler for Zone 2; outside the living room)</t>
  </si>
  <si>
    <t>Readjusting TRVs (1.5°C cooler for Zone 2; outside the living room)</t>
  </si>
  <si>
    <t>Proportion of those homes with TRVs</t>
  </si>
  <si>
    <t>all</t>
  </si>
  <si>
    <t>For England from the CHM - with uncertainty bands</t>
  </si>
  <si>
    <t>Proportion of homes without TRVs</t>
  </si>
  <si>
    <t>If these homes do not currently set TRVs to achieve cooler non-living rooms</t>
  </si>
  <si>
    <t>Proportion of homes with TRVs</t>
  </si>
  <si>
    <t>Calculating tariffs for Gas and electricitiy based on OFGEM price caps</t>
  </si>
  <si>
    <t>OFGEMCaps</t>
  </si>
  <si>
    <t>All figures are for the standard credit tariff</t>
  </si>
  <si>
    <t xml:space="preserve">OFGEM price cap </t>
  </si>
  <si>
    <t>General assumptions</t>
  </si>
  <si>
    <t>Price period</t>
  </si>
  <si>
    <t>Electricity/kWh</t>
  </si>
  <si>
    <t>Standing charge</t>
  </si>
  <si>
    <t>Gas/kWh</t>
  </si>
  <si>
    <t>Units</t>
  </si>
  <si>
    <t>Oct-Dec 2026</t>
  </si>
  <si>
    <t>GHG emissions</t>
  </si>
  <si>
    <t>OFGEMPriceCaps (added by Martina)</t>
  </si>
  <si>
    <t>July-Sep 2026</t>
  </si>
  <si>
    <t>kWh per tonne of oil equivalent (toe)</t>
  </si>
  <si>
    <t>OFGEMPriceCaps</t>
  </si>
  <si>
    <t>kWh/toe</t>
  </si>
  <si>
    <t>Note these tariffs, published by Ofgem, are slightly lower than those we calculated from all regions, below. Since Ofgem now publishes mean tariffs, we use these in preference</t>
  </si>
  <si>
    <t>April-June 2026</t>
  </si>
  <si>
    <t>kWh per ktoe</t>
  </si>
  <si>
    <t>Gas GHG emissions (gross)</t>
  </si>
  <si>
    <t>References</t>
  </si>
  <si>
    <t>kg CO2e/kwh</t>
  </si>
  <si>
    <t>Active</t>
  </si>
  <si>
    <t>GHGConv25</t>
  </si>
  <si>
    <t>Date</t>
  </si>
  <si>
    <t>Down 0.001kg since 2022 work</t>
  </si>
  <si>
    <t>Title</t>
  </si>
  <si>
    <t>Hyperlink (where available)</t>
  </si>
  <si>
    <t>t CO2e/GWh</t>
  </si>
  <si>
    <t>Electricity GHG emission</t>
  </si>
  <si>
    <t>Down 9% since 2022 work</t>
  </si>
  <si>
    <t>Oil GHG emissions (gross)</t>
  </si>
  <si>
    <t>2018 (?)</t>
  </si>
  <si>
    <t>The secret life of boilers: Dynamic performance of residential gas boilers
heating systems – a modelling and empirical study
by
George James Bennett
UCL Energy Institute
Bartlett School of Environment, Energy and Resources
Thesis submitted for the degree of Doctor of Philosophy in
Energy and the Built Environmen</t>
  </si>
  <si>
    <t>https://discovery.ucl.ac.uk/id/eprint/10065409/1/GJB_Thesis_postViva_v2_submission.pdf</t>
  </si>
  <si>
    <t>Energy prices</t>
  </si>
  <si>
    <t>BEISDistrib</t>
  </si>
  <si>
    <t>Domestic Heat Distribution Systems Evidence Gathering</t>
  </si>
  <si>
    <t>https://www.gov.uk/government/publications/heat-storage-and-distribution-systems-hds</t>
  </si>
  <si>
    <t>Price period selected on the Tariffs sheet</t>
  </si>
  <si>
    <t>BoilerJuice</t>
  </si>
  <si>
    <t>UK Average Home Heating Oil Prices</t>
  </si>
  <si>
    <t>https://www.boilerjuice.com/heating-oil-prices/</t>
  </si>
  <si>
    <t>Gas price, Oct 2022 baseline</t>
  </si>
  <si>
    <t>p/kWh</t>
  </si>
  <si>
    <t>Evidence Gathering - Compensation and TPI Heating Controls</t>
  </si>
  <si>
    <t>https://assets.publishing.service.gov.uk/government/uploads/system/uploads/attachment_data/file/648337/heating-controls-compensation-tpi-bre.pdf</t>
  </si>
  <si>
    <t>This row automatically updates when you select the price period. Values are used on the summary sheet</t>
  </si>
  <si>
    <t>BREStock</t>
  </si>
  <si>
    <t>Change since Oct 2022</t>
  </si>
  <si>
    <t>The Housing Stock of the United Kingdom</t>
  </si>
  <si>
    <t>https://files.bregroup.com/bretrust/The-Housing-Stock-of-the-United-Kingdom_Report_BRE-Trust.pdf</t>
  </si>
  <si>
    <t>Price of electricity (standard), Oct 2022 baseline</t>
  </si>
  <si>
    <t>CAR2022</t>
  </si>
  <si>
    <t>Free and low-cost actions to bring down bills, improve energy security and help the planet</t>
  </si>
  <si>
    <t>https://www.nesta.org.uk/report/free-and-low-cost-energy-saving-actions-to-bring-down-bills-improve-energy-security-and-help-the-planet/</t>
  </si>
  <si>
    <t>Price of electricity (dual rate bill)</t>
  </si>
  <si>
    <t>Module 149: Effective control for condensing gas boiler systems</t>
  </si>
  <si>
    <t>https://www.cibsejournal.com/cpd/modules/2019-07-gas/</t>
  </si>
  <si>
    <t>Price of oil</t>
  </si>
  <si>
    <t>DEEP Report 1: Synthesis - Demonstration of Energy Efficiency Potential</t>
  </si>
  <si>
    <t>p/litre</t>
  </si>
  <si>
    <t>https://www.gov.uk/government/publications/demonstration-of-energy-efficiency-potential-deep</t>
  </si>
  <si>
    <t>price for June 2026</t>
  </si>
  <si>
    <t>ECUK</t>
  </si>
  <si>
    <t>Energy consumption in the UK</t>
  </si>
  <si>
    <t>https://www.gov.uk/government/statistics/energy-consumption-in-the-uk-2025</t>
  </si>
  <si>
    <t>ECUKU</t>
  </si>
  <si>
    <t>Energy Consumption in the UK (ECUK): End Use Tables</t>
  </si>
  <si>
    <t>https://assets.publishing.service.gov.uk/media/69e6362644a079b27f997f8d/ECUK_2025_End_Use_tables_200426.xlsx</t>
  </si>
  <si>
    <t>Demographics</t>
  </si>
  <si>
    <t>OFGEM tariffs 1/April to 30/June 2026 (note new typical kWh/year)</t>
  </si>
  <si>
    <t>EHSenergy</t>
  </si>
  <si>
    <t>English housing survey</t>
  </si>
  <si>
    <t>https://assets.publishing.service.gov.uk/government/uploads/system/uploads/attachment_data/file/1055629/Energy_Report_2019-20.pdf</t>
  </si>
  <si>
    <t xml:space="preserve">Electricity - standard </t>
  </si>
  <si>
    <t>Population of the UK (2024)</t>
  </si>
  <si>
    <t>English Housing Survey energy report</t>
  </si>
  <si>
    <t>https://www.gov.uk/government/statistics/english-housing-survey-2022-to-2023-energy/english-housing-survey-2022-to-2023-energy-report</t>
  </si>
  <si>
    <t>Electricity - multi-register rate</t>
  </si>
  <si>
    <t>EnergyBillsSupport</t>
  </si>
  <si>
    <t>Energy bills support factsheet: 8 September 2022</t>
  </si>
  <si>
    <t>https://www.gov.uk/government/publications/energy-bills-support/energy-bills-support-factsheet-8-september-2022</t>
  </si>
  <si>
    <t>see https://www.ofgem.gov.uk/sites/default/files/2026-02/Summary-of-changes-to-energy-price-cap-1-April-to-30-June-2026.pdf for kWh/year</t>
  </si>
  <si>
    <t>TDCV kWh/year</t>
  </si>
  <si>
    <t>How much energy could be saved by making small changes to everyday household behaviours?</t>
  </si>
  <si>
    <t>https://www.gov.uk/government/publications/how-much-energy-could-be-saved-by-making-small-changes-to-everyday-household-behaviours</t>
  </si>
  <si>
    <t>ONS2025</t>
  </si>
  <si>
    <t>Population of England</t>
  </si>
  <si>
    <t>ET7.1</t>
  </si>
  <si>
    <t>Average temperatures, heating degree-days and deviations from the long-term mean</t>
  </si>
  <si>
    <t>Nil bill</t>
  </si>
  <si>
    <t>https://assets.publishing.service.gov.uk/media/6a423a477ac6fd9c6a94aac6/ET_7.1_JUN_26.xlsx</t>
  </si>
  <si>
    <t>GHGConv</t>
  </si>
  <si>
    <t>UK Government GHG Conversion Factors for Company Reporting</t>
  </si>
  <si>
    <t>North West</t>
  </si>
  <si>
    <t>https://www.gov.uk/government/collections/government-conversion-factors-for-company-reporting</t>
  </si>
  <si>
    <t>Number of dwellings in the UK</t>
  </si>
  <si>
    <t>Benefits of low-temperature heating systems</t>
  </si>
  <si>
    <t>https://www.heatgeek.com/benefits-of-low-temprature-heating-systems/</t>
  </si>
  <si>
    <t>HHBCombi</t>
  </si>
  <si>
    <t>How to turn OFF the pre-heat on your Ideal combi boiler to save 5-10%</t>
  </si>
  <si>
    <t>https://www.theheatinghub.co.uk/articles/Ideal-hot-water-preheat</t>
  </si>
  <si>
    <t>Population of Scotland</t>
  </si>
  <si>
    <t>2021 (?)</t>
  </si>
  <si>
    <t>Heating up to net zero</t>
  </si>
  <si>
    <t>https://www.hhic.org.uk/uploads/6165409B9D4C9.pdf</t>
  </si>
  <si>
    <t>see https://www.ofgem.gov.uk/sites/default/files/2026-02/16a-PDF-cap-tables.pdf</t>
  </si>
  <si>
    <t>Northern</t>
  </si>
  <si>
    <t>HistoricEngland</t>
  </si>
  <si>
    <t>Population of Wales</t>
  </si>
  <si>
    <t>Improving the Thermal Performance of Traditional Windows: Metal-framed Windows</t>
  </si>
  <si>
    <t>https://historicengland.org.uk/research/results/reports/15-2017</t>
  </si>
  <si>
    <t>Yorkshire</t>
  </si>
  <si>
    <t>2026?</t>
  </si>
  <si>
    <t>Indicators of house building, UK: permanent dwellings started and completed by country</t>
  </si>
  <si>
    <t>https://www.ons.gov.uk/peoplepopulationandcommunity/housing/datasets/ukhousebuildingpermanentdwellingsstartedandcompleted</t>
  </si>
  <si>
    <t>Northern Scotland</t>
  </si>
  <si>
    <t>Population of N, Ireland</t>
  </si>
  <si>
    <t>IHCS</t>
  </si>
  <si>
    <t>Northern Ireland House Condition Survey 2016</t>
  </si>
  <si>
    <t>https://www.nihe.gov.uk/Working-With-Us/Research/House-Condition-Survey</t>
  </si>
  <si>
    <t>Southern</t>
  </si>
  <si>
    <t>Lomas-2018</t>
  </si>
  <si>
    <t xml:space="preserve">Do domestic heating controls save energy? A review of the evidence </t>
  </si>
  <si>
    <t xml:space="preserve">https://doi.org/10.1016/j.rser.2018.05.002 </t>
  </si>
  <si>
    <t>Number of households (1000s)</t>
  </si>
  <si>
    <t>Southern Scotland</t>
  </si>
  <si>
    <t>MHCLG2024</t>
  </si>
  <si>
    <t>Dwelling Stock Estimates, England</t>
  </si>
  <si>
    <t>ONSFAM</t>
  </si>
  <si>
    <t>https://www.gov.uk/government/statistics/dwelling-stock-estimates-in-england-2024/dwelling-stock-estimates-england-31-march-2024</t>
  </si>
  <si>
    <t>Number of households without children (1000s)</t>
  </si>
  <si>
    <t>N Wales and Mersey</t>
  </si>
  <si>
    <t>NEED</t>
  </si>
  <si>
    <t>People living alone (1000s)</t>
  </si>
  <si>
    <t>National Energy Efficiency Data-Framework (NEED): Summary of Analysis, Great Britain, 2021</t>
  </si>
  <si>
    <t>https://assets.publishing.service.gov.uk/government/uploads/system/uploads/attachment_data/file/1008681/need-report-2021.pdf</t>
  </si>
  <si>
    <t>London</t>
  </si>
  <si>
    <t>People living alone age 65 and over (1000s)</t>
  </si>
  <si>
    <t>Proportion of  households with one person aged 65 and over</t>
  </si>
  <si>
    <t>Evaluating the Nest Learning Thermostat</t>
  </si>
  <si>
    <t>https://www.bi.team/wp-content/uploads/2017/11/311013-Evaluating-Nest-BIT-Exec-Tech-Summaries.pdf</t>
  </si>
  <si>
    <t>South East</t>
  </si>
  <si>
    <t>Online article: Lowering boiler flow temperature to reduce emissions</t>
  </si>
  <si>
    <t>Eastern</t>
  </si>
  <si>
    <t>https://www.nesta.org.uk/project/lowering-boiler-flow-temperature-reduce-emissions/</t>
  </si>
  <si>
    <t>Proportion of households with children</t>
  </si>
  <si>
    <t>NISRA2025</t>
  </si>
  <si>
    <t>Growth in housing stock throughout Northern Ireland</t>
  </si>
  <si>
    <t>East Midlands</t>
  </si>
  <si>
    <t>https://www.nisra.gov.uk/news/growth-housing-stock-throughout-northern-ireland</t>
  </si>
  <si>
    <t>Midlands</t>
  </si>
  <si>
    <t>08/06/2026 (viewed)</t>
  </si>
  <si>
    <t>Energy price cap unit rates and standing charges</t>
  </si>
  <si>
    <t>https://www.ofgem.gov.uk/information-consumers/energy-advice-households/energy-price-cap-unit-rates-and-standing-charges</t>
  </si>
  <si>
    <t>Proportion of households with children under 5</t>
  </si>
  <si>
    <t>Southern Western</t>
  </si>
  <si>
    <t>Population estimates for the UK, England, Wales, Scotland and Northern Ireland</t>
  </si>
  <si>
    <t>https://www.ons.gov.uk/peoplepopulationandcommunity/populationandmigration/populationestimates/bulletins/annualmidyearpopulationestimates/mid2024</t>
  </si>
  <si>
    <t>S Wales</t>
  </si>
  <si>
    <t>ONSFam</t>
  </si>
  <si>
    <t>Households have children up to 16 years for 4 times as long as children up to 4 so there should be 4 times as many</t>
  </si>
  <si>
    <t>Proportion of households with vulnerable members -either under 5 or over 65 living alone</t>
  </si>
  <si>
    <t>Average</t>
  </si>
  <si>
    <t>Families and households in the UK: 2024</t>
  </si>
  <si>
    <t>https://www.ons.gov.uk/peoplepopulationandcommunity/birthsdeathsandmarriages/families/bulletins/familiesandhouseholds/2025</t>
  </si>
  <si>
    <t>ONSPop</t>
  </si>
  <si>
    <t>Estimates of the population for the UK, England and Wales, Scotland and Northern Ireland</t>
  </si>
  <si>
    <t>https://www.ons.gov.uk/peoplepopulationandcommunity/populationandmigration/populationestimates/datasets/populationestimatesforukenglandandwalesscotlandandnorthernireland</t>
  </si>
  <si>
    <t>ONSwellbeing</t>
  </si>
  <si>
    <t>Public opinions and social trends, Great Britain: 22 June to 3 July 2022</t>
  </si>
  <si>
    <t>https://www.ons.gov.uk/peoplepopulationandcommunity/wellbeing/bulletins/publicopinionsandsocialtrendsgreatbritain/22juneto3july2022</t>
  </si>
  <si>
    <t>OpenTherm</t>
  </si>
  <si>
    <t>Opentherm boilers and controls</t>
  </si>
  <si>
    <t>https://myboiler.com/opentherm/opentherm-boilers-and-controls/ "</t>
  </si>
  <si>
    <t>Radflek</t>
  </si>
  <si>
    <t>Radflek - proposed CERT attributed savings - BRE</t>
  </si>
  <si>
    <t>https://www.radflek.com/_webedit/uploaded-files/All%20Files/Radflek_FinalReport.pdf</t>
  </si>
  <si>
    <t>SalfordCurtains</t>
  </si>
  <si>
    <t>The thermal performance of window coverings in a whole house test facility with single-glazed sash windows</t>
  </si>
  <si>
    <t xml:space="preserve">http://dx.doi.org/10.1007/s12053-017-9529-0 </t>
  </si>
  <si>
    <t>The high estimate is a maximum as it counts households with both twice.</t>
  </si>
  <si>
    <t>SalfordFlow</t>
  </si>
  <si>
    <t>This data is not yet published</t>
  </si>
  <si>
    <t>SalfordFlow2</t>
  </si>
  <si>
    <t>A summarised version of the data above, published as part of NESTA's Money Saving Boilers Challenge. Note flow temperatures are slightly different from those in the savings estimates here, and include a 25% adjustment for DHW.</t>
  </si>
  <si>
    <t>https://moneysavingboilerchallenge.com/how-to-change-your-boiler-settings-more-regularly-to-save-more-money/</t>
  </si>
  <si>
    <t>Gas heating</t>
  </si>
  <si>
    <t>Assessing the energy savings from advanced room thermostat controls in a whole house test facility</t>
  </si>
  <si>
    <t xml:space="preserve">https://www.beama.org.uk/resourceLibrary/salford-tests-on-load-and-weather-compensation-.html </t>
  </si>
  <si>
    <t>Total domestic sector gas use (UK)</t>
  </si>
  <si>
    <t>The Government’s Standard Assessment Procedure for Energy Rating of Dwellings</t>
  </si>
  <si>
    <t>https://files.bregroup.com/SAP/SAP%2010.2%20-%2017-12-2021.pdf</t>
  </si>
  <si>
    <t>ktoe</t>
  </si>
  <si>
    <t>TableU3</t>
  </si>
  <si>
    <t>SGHS2024</t>
  </si>
  <si>
    <t>Housing statistics: Stock by tenure</t>
  </si>
  <si>
    <t>https://www.gov.scot/publications/housing-statistics-stock-by-tenure/</t>
  </si>
  <si>
    <t>StatsWales</t>
  </si>
  <si>
    <t>Council tax dwellings by local authorith</t>
  </si>
  <si>
    <t>https://statswales.gov.wales/Catalogue/Local-Government/Finance/Council-Tax/Dwellings/counciltaxdwellings-by-localauthority</t>
  </si>
  <si>
    <t>TDCV2026</t>
  </si>
  <si>
    <t>Review of typical domestic consumption values</t>
  </si>
  <si>
    <t>https://www.ofgem.gov.uk/consultation/review-typical-domestic-consumption-values</t>
  </si>
  <si>
    <t>Total gas for domestic space heating (UK)</t>
  </si>
  <si>
    <t>Veissman</t>
  </si>
  <si>
    <t>What temperature should a condensing boiler be set at?</t>
  </si>
  <si>
    <t>https://www.viessmann.co.uk/heating-advice/what-temperature-to-set-condensing-boiler</t>
  </si>
  <si>
    <t>Walnut</t>
  </si>
  <si>
    <t>Walnut Ombinus Excel Tables - Nesta - Energy Saving Measures - 22.07.26</t>
  </si>
  <si>
    <t>Not yet published</t>
  </si>
  <si>
    <t>Simple Economy-7 Tariffs</t>
  </si>
  <si>
    <t>WGDSE2024</t>
  </si>
  <si>
    <t>Estimates of the number of dwellings (including vacant) in Wales and each local authority by tenure, as at 31 March 2024</t>
  </si>
  <si>
    <t>https://www.gov.wales/dwelling-stock-estimates-31-march-2024-html</t>
  </si>
  <si>
    <t>Peak</t>
  </si>
  <si>
    <t>Off-peak</t>
  </si>
  <si>
    <t>WHCS</t>
  </si>
  <si>
    <t>Welsh Housing Conditions Survey 2017-18: Energy Efficiency of Dwellings</t>
  </si>
  <si>
    <t>https://gov.wales/sites/default/files/statistics-and-research/2019-10/welsh-housing-conditions-survey-energy-efficiency-dwellings-april-2017-march-2018-795.pdf</t>
  </si>
  <si>
    <t>Notation</t>
  </si>
  <si>
    <t>Number of homes with gas heating</t>
  </si>
  <si>
    <t>Data sources are indicated, using a key for the References tab where appropriate.</t>
  </si>
  <si>
    <t>National surveys</t>
  </si>
  <si>
    <t>Mean Domestic Gas Bill</t>
  </si>
  <si>
    <t>Modelling notes</t>
  </si>
  <si>
    <t>Some of these estimates rely on energy use models. We have used two such models:</t>
  </si>
  <si>
    <t>OFGEM has decided on 9,500  as a typical consumption value for gas from July 2026 (TDCV2026)</t>
  </si>
  <si>
    <t>https://www.ofgem.gov.uk/sites/default/files/2026-05/Review%20of%20typical%20domestic%20consumption%20values%20decision.pdf</t>
  </si>
  <si>
    <t>Mean Domestic Gas Bill 2022</t>
  </si>
  <si>
    <t>1. Cambridge Housing Model (CHM)</t>
  </si>
  <si>
    <t>2. CODE model</t>
  </si>
  <si>
    <t>Proportion of gas bill for space heating</t>
  </si>
  <si>
    <t>Housing data</t>
  </si>
  <si>
    <t>Parameters derived from 12,300 homes in different regions of the UK from the Englush Housing Survey (2018/2019 data), weighted as in the EHS.</t>
  </si>
  <si>
    <t>Proportion of gas boilers that are regular boilers</t>
  </si>
  <si>
    <t>12 archetypes of typical homes derived from English Housing Survey data, with weights derived from the EHS.</t>
  </si>
  <si>
    <t>EHSEnergy</t>
  </si>
  <si>
    <t>Energy model</t>
  </si>
  <si>
    <t>Derived from SAP with some adjustments (in particular for thermostat settings) to make it representative of actual energy use. Static monthly calculations.</t>
  </si>
  <si>
    <t>Proportion of homes with gas heating</t>
  </si>
  <si>
    <t>Basd on EnergyPlus, a detailed, dynamic model of buildling physics. Energy use is modelled over a year in intervals of 10 minutes.</t>
  </si>
  <si>
    <t>Weather</t>
  </si>
  <si>
    <t>Weather is typical for each region.</t>
  </si>
  <si>
    <t>We used weather for a single location that represents 'average' UK weather (near Sheffield).</t>
  </si>
  <si>
    <t>Advantages</t>
  </si>
  <si>
    <t>Large stock dataset allows for good estimates of the range of outcomes.</t>
  </si>
  <si>
    <t>Can simulate aspects of building physics that are not represented in the CHM.</t>
  </si>
  <si>
    <t>Disadvantages</t>
  </si>
  <si>
    <t>Simple energy model with heuristics for the effects of  complex physics or timing/thermal mass effects.</t>
  </si>
  <si>
    <t>Prooportion of homes with gas regular boiler</t>
  </si>
  <si>
    <t>Small set of 12 representative archetypes.</t>
  </si>
  <si>
    <t>Calibrating energy use and savings</t>
  </si>
  <si>
    <t>Many households have already taken action to reduce energy bills, so avarage gas use per home (mean) has fallen from 11,734kWh in 2022 to 9,876kWh a year.</t>
  </si>
  <si>
    <t>Proportion of homes with gas combi</t>
  </si>
  <si>
    <t>Fall in gas; similar fall for oil</t>
  </si>
  <si>
    <t>Mean electricity use for space and water heating has fallen from 7,544kWh in 2022 to 6,923 kWh.</t>
  </si>
  <si>
    <t>Oil heating</t>
  </si>
  <si>
    <t>Total domestic sector oil use (UK)</t>
  </si>
  <si>
    <t>Fall in electricity for heating</t>
  </si>
  <si>
    <t>This reduction comes from households that have taken action already. Inter-alia, other households have witnessed no savings.</t>
  </si>
  <si>
    <t>Table U3</t>
  </si>
  <si>
    <r>
      <rPr>
        <rFont val="Calibri"/>
        <color theme="1"/>
        <sz val="12.0"/>
      </rPr>
      <t xml:space="preserve">Both for individual homes and nationally, we now want to estimate the </t>
    </r>
    <r>
      <rPr>
        <rFont val="Calibri"/>
        <b/>
        <color theme="1"/>
        <sz val="12.0"/>
      </rPr>
      <t>remaining</t>
    </r>
    <r>
      <rPr>
        <rFont val="Calibri"/>
        <color theme="1"/>
        <sz val="12.0"/>
      </rPr>
      <t xml:space="preserve"> potential savings. We therefore use the 2022 energy-use data to estimate savings from households that have not yet implemented measures. In reality, some of these households may have partially applied measures - possibly not to the full extent, or not for the whole heating season. For this reason, we say "Savings UP TO X kWh" in all cases.</t>
    </r>
  </si>
  <si>
    <t>Total oil for domestic space heating (UK)</t>
  </si>
  <si>
    <t>Number of homes with oil heating</t>
  </si>
  <si>
    <t>Proportion of homes with oil heating</t>
  </si>
  <si>
    <t>Oil heating bill per dwelling</t>
  </si>
  <si>
    <t>cf 21000 from the CHM in 2022, England only</t>
  </si>
  <si>
    <t>Mean oil heating bill 2022</t>
  </si>
  <si>
    <t>Proportion of oil bill for space heating</t>
  </si>
  <si>
    <t>cf gas</t>
  </si>
  <si>
    <t>Proportion of oil boilers that are regular boilers</t>
  </si>
  <si>
    <t>Electric heating</t>
  </si>
  <si>
    <t>Total domestic  electricity for space heating</t>
  </si>
  <si>
    <t>Total domestic  electricity for water heating</t>
  </si>
  <si>
    <t>Total domestic electricity for heating (UK)</t>
  </si>
  <si>
    <t>Proportion of electricty usage for heating that is in homes with electricity as the main heating (rather than electricity for supplementary heating)</t>
  </si>
  <si>
    <t>Estimated from modelling the CHM - which is for England only. Storage heater homes use slightly more: 6980 compared to 6630 for other electric heating</t>
  </si>
  <si>
    <t>Domestic electriciy for heating where electricity is the main fuel</t>
  </si>
  <si>
    <t>Number of homes with storage heaters</t>
  </si>
  <si>
    <t>Number of homes with other electric heating</t>
  </si>
  <si>
    <t>Proportion of homes with storage heaters</t>
  </si>
  <si>
    <t>Proportion of homes with other electric heaters</t>
  </si>
  <si>
    <t>Electricity heating bill per dwelling</t>
  </si>
  <si>
    <t>cf 6890 from the CHM</t>
  </si>
  <si>
    <t>Storage heater homes use slightly more: 6980 compared to 6630 for other electric heating</t>
  </si>
  <si>
    <t>Match against gas, c. 11,700</t>
  </si>
  <si>
    <t>Mean electric heating bill 2022</t>
  </si>
  <si>
    <t>Domestic electricity for heating: storage heaters</t>
  </si>
  <si>
    <t>Domestic electricity for heating: other electric heaters</t>
  </si>
  <si>
    <t>Total energy use for space heating (kWh)</t>
  </si>
  <si>
    <t>Changes</t>
  </si>
  <si>
    <t>v7</t>
  </si>
  <si>
    <t>Moved asumptions about gas bill to assumptions sheet from the closing curtains sheet</t>
  </si>
  <si>
    <t>Attempt at similar calculations for electric homes</t>
  </si>
  <si>
    <t>Added reducing heating hours</t>
  </si>
  <si>
    <t>Added  moving furniture</t>
  </si>
  <si>
    <t>Added windows treatments</t>
  </si>
  <si>
    <t>v8</t>
  </si>
  <si>
    <t>New sections combi keep hot</t>
  </si>
  <si>
    <t>Name fixes on the assumptions sheet - numberDwellingsUK is not the same as numberDwellings</t>
  </si>
  <si>
    <t>Average per household, all fuel types</t>
  </si>
  <si>
    <t>Formula fix in reducing radiator temp numberDwellings-&gt;numberDwellingsUK</t>
  </si>
  <si>
    <t>Fix on summary sheet for oil/reducing heating hours £</t>
  </si>
  <si>
    <t>v9</t>
  </si>
  <si>
    <t>New sections foil</t>
  </si>
  <si>
    <t>redone the curtains based on window area</t>
  </si>
  <si>
    <t>v10</t>
  </si>
  <si>
    <t>Tidying and checking</t>
  </si>
  <si>
    <t>v11</t>
  </si>
  <si>
    <t>v12</t>
  </si>
  <si>
    <t>Changed loft insulation to be all up to 300mm</t>
  </si>
  <si>
    <t>Also put more cases onto the summary sheet</t>
  </si>
  <si>
    <t>v14</t>
  </si>
  <si>
    <t>Bug fixes Added smart thermostats, load and weather compensation</t>
  </si>
  <si>
    <t>Added a line for each measure on what sort of homes can adopt it.</t>
  </si>
  <si>
    <t>Updated tariffs for from 1/10/2022</t>
  </si>
  <si>
    <t>v15</t>
  </si>
  <si>
    <t>New results from the Salford test house</t>
  </si>
  <si>
    <t>By country assumptions - all numbers of dwellings</t>
  </si>
  <si>
    <t>New format Summary</t>
  </si>
  <si>
    <t>Added packages on Summary</t>
  </si>
  <si>
    <t>Changed  factors for microbore pipework on reducing radiator temperature</t>
  </si>
  <si>
    <t>Allow for useful gains in calculation of lower DHW temperature for combi boilers</t>
  </si>
  <si>
    <t>v16</t>
  </si>
  <si>
    <t>New data on Welsh dwellings in Assumptions</t>
  </si>
  <si>
    <t>Adjustments to Northern Ireland dwellings and by heating type</t>
  </si>
  <si>
    <t>Added notes on heating types not covered in the assumptions</t>
  </si>
  <si>
    <t>England</t>
  </si>
  <si>
    <t>Clarified target temperatures for DHW savings in combi boilers</t>
  </si>
  <si>
    <t>Population</t>
  </si>
  <si>
    <t>Added new data and notes on Salford study/higher internal temps</t>
  </si>
  <si>
    <t>Adjustment and correction to proportion of homes that can reduce flow temperatures</t>
  </si>
  <si>
    <t>Added a note on additional savings from reducing flow temperatures where thermal comfort decrease is acceptable</t>
  </si>
  <si>
    <t>Dwellings</t>
  </si>
  <si>
    <t>Clarified assumptions and counterfactual for TRVs</t>
  </si>
  <si>
    <t>Added guidance on how to adjust the packages</t>
  </si>
  <si>
    <t>v16c</t>
  </si>
  <si>
    <t>Updated adoption parameters for Changed radiator temps</t>
  </si>
  <si>
    <t>Updated tariffs based on the price guarantee</t>
  </si>
  <si>
    <t>Updated the proportional savings on the loft insulation measures to be calculated directlly from the CHM instead of based on the overall typical bill</t>
  </si>
  <si>
    <t>Mains gas heating</t>
  </si>
  <si>
    <t>v16f</t>
  </si>
  <si>
    <t>Added results from ESC to Reducing radiator temperatures</t>
  </si>
  <si>
    <t>Added gas savings for Reducing radiator temperatures to the final list</t>
  </si>
  <si>
    <t>2026-update</t>
  </si>
  <si>
    <t>New tariff levels for 2026 based on current energy price guarantee</t>
  </si>
  <si>
    <t>New population and dwelling stock estimates (assumpions sheet)</t>
  </si>
  <si>
    <t>Latest oil price (2/6/2026)</t>
  </si>
  <si>
    <t>Activities</t>
  </si>
  <si>
    <t>status</t>
  </si>
  <si>
    <t xml:space="preserve">Reducing radiator temp </t>
  </si>
  <si>
    <t>EHSEnergy2020</t>
  </si>
  <si>
    <t>done</t>
  </si>
  <si>
    <t>Reducing DHW temperature</t>
  </si>
  <si>
    <t>draft</t>
  </si>
  <si>
    <t>Closing curtains</t>
  </si>
  <si>
    <t>Redone for per-window area. Poss add thermal curtains?</t>
  </si>
  <si>
    <t>reducing heating hours</t>
  </si>
  <si>
    <t>Turning off combi keep hot</t>
  </si>
  <si>
    <t>Window treatments</t>
  </si>
  <si>
    <t>By window area, then prop single/double</t>
  </si>
  <si>
    <t>Foil</t>
  </si>
  <si>
    <t>%age of space heaitng</t>
  </si>
  <si>
    <t>TRVs</t>
  </si>
  <si>
    <t>as reduced heating hours</t>
  </si>
  <si>
    <t>Smart thermostats</t>
  </si>
  <si>
    <t>Modulating thermostat/weather or load compensation</t>
  </si>
  <si>
    <t>DIY loft insulation</t>
  </si>
  <si>
    <t>This is the room heaters and the electric ceiling/underfloor heating systems.</t>
  </si>
  <si>
    <t>Bug fix</t>
  </si>
  <si>
    <t>version</t>
  </si>
  <si>
    <t>sheet</t>
  </si>
  <si>
    <t>row</t>
  </si>
  <si>
    <t>change</t>
  </si>
  <si>
    <t>Turn off Keephot</t>
  </si>
  <si>
    <t>Low savings are from low space heating efficiency: low and high were the wrong way round</t>
  </si>
  <si>
    <t>Low savings are from 16 hours keephot, high savings from only 8 hours keephot. This affects the text only.</t>
  </si>
  <si>
    <t>Note that this does not add up to 100%. It excludes communal heating systems and warm air systems.</t>
  </si>
  <si>
    <t>Reducing heating hours</t>
  </si>
  <si>
    <t xml:space="preserve">Scotland </t>
  </si>
  <si>
    <t>reformatted as a calculated row</t>
  </si>
  <si>
    <t>Reducing radiator temperature</t>
  </si>
  <si>
    <t>Fixed proportion of homes with gas boilers on Reducing DHW temperature</t>
  </si>
  <si>
    <t>Turn off pre-heat</t>
  </si>
  <si>
    <t>Changed 'keep-hot' to 'pre-heat'. Also removed mentions of internal storage as that is not relevant.</t>
  </si>
  <si>
    <t>Summary2</t>
  </si>
  <si>
    <t>Added this sheet, with an alternative summary format. Some other sheets changed to generate data for this sheet.</t>
  </si>
  <si>
    <t>Summary2 is now summary</t>
  </si>
  <si>
    <t>Tariffs</t>
  </si>
  <si>
    <t>9,10</t>
  </si>
  <si>
    <t>Added rows to select a price period for the active prices. User selects the period and the named fields update.</t>
  </si>
  <si>
    <t>2026-update-v3</t>
  </si>
  <si>
    <t>60-65</t>
  </si>
  <si>
    <t>Added 'any heating' assumptions for reducing thermostat ReduceTherm1CLow, ReduceTherm2Clow etc.</t>
  </si>
  <si>
    <t>Incorporated new assumptions from Jason</t>
  </si>
  <si>
    <t>SHCS</t>
  </si>
  <si>
    <t>New sheet</t>
  </si>
  <si>
    <t>Updated figure for domestic gas use from ECUK 2025 Table C1</t>
  </si>
  <si>
    <t>Added rows for reducing the thermostat setting</t>
  </si>
  <si>
    <t>Calculated high and low for thermostat savings/18C and 19C</t>
  </si>
  <si>
    <t>2026-v9 with diffs</t>
  </si>
  <si>
    <t>New references ET7.1 and DEEP</t>
  </si>
  <si>
    <t>Corrected assumptions figures for oil heating and electricity</t>
  </si>
  <si>
    <t>Added rows for total energy use (all fuels) and average per household</t>
  </si>
  <si>
    <t>Shorter heating season</t>
  </si>
  <si>
    <t>Moved the table for degree days to the Shorter Heating Season sheet</t>
  </si>
  <si>
    <t>(names)</t>
  </si>
  <si>
    <t>Removed name with typo that was not used (DDFacctorHigh)</t>
  </si>
  <si>
    <t>Changed references to names PropTherm19OK etc to PropTherm19OK(Low/Likely/High) etc</t>
  </si>
  <si>
    <t>2026-v9 with diffs+draughts</t>
  </si>
  <si>
    <t>Draught Stripping</t>
  </si>
  <si>
    <t>2026-v10 to14</t>
  </si>
  <si>
    <t>Multiple changes on calculations</t>
  </si>
  <si>
    <t>Added 'already improved' tables</t>
  </si>
  <si>
    <t>References and Assumptions</t>
  </si>
  <si>
    <t>Updated population estimates and numbers of households</t>
  </si>
  <si>
    <t>Added packages for no upfront costs and shorter heating season.</t>
  </si>
  <si>
    <t>Wales</t>
  </si>
  <si>
    <t>Asumptions</t>
  </si>
  <si>
    <t>Added calculations and variable names for propHomesGasRegular and propHomesGasCombi</t>
  </si>
  <si>
    <t>v18</t>
  </si>
  <si>
    <t>Change variable name …Mediun to Medium and fix Name errors on the summary sheet.</t>
  </si>
  <si>
    <t>v19</t>
  </si>
  <si>
    <t>Note large fall compared to 2022 figure (5.065m)</t>
  </si>
  <si>
    <t>Packages, and Smart thermostatis &amp; compens'n</t>
  </si>
  <si>
    <t>Various fixes to calculations for oil heating and to calculating the £ saving using the correct fuel price</t>
  </si>
  <si>
    <t>v20</t>
  </si>
  <si>
    <t>Multiple sheets</t>
  </si>
  <si>
    <t>Multiple fixes - most important being elecPricePerkWh was used in place of gasPricePerkWh in different places as the gas price. Now all corrected.</t>
  </si>
  <si>
    <t>v21</t>
  </si>
  <si>
    <t>Window treatment</t>
  </si>
  <si>
    <t>StatsWales2024</t>
  </si>
  <si>
    <t>Reduced max potential for window film, using new Walnut data</t>
  </si>
  <si>
    <t xml:space="preserve">Assumptions </t>
  </si>
  <si>
    <t>Corrected households figure</t>
  </si>
  <si>
    <t>Fixed calculation reference</t>
  </si>
  <si>
    <t>Reduced room temperature</t>
  </si>
  <si>
    <t>Fixed to latest elec bill reference</t>
  </si>
  <si>
    <t>Reversed high/low to make Summary sheet clearer</t>
  </si>
  <si>
    <t>N. Ireland</t>
  </si>
  <si>
    <t>All electric heating</t>
  </si>
  <si>
    <t>A little less than the 7% 'other'</t>
  </si>
  <si>
    <t>Assume same proportion of storage heaters as in England</t>
  </si>
  <si>
    <t>UK Totals</t>
  </si>
  <si>
    <t>Total Numbers of dwellings</t>
  </si>
  <si>
    <t>Total dwellings with mains gas heating</t>
  </si>
  <si>
    <t>Total dwellings with oil heating</t>
  </si>
  <si>
    <t>Total dwellings using storage heaters</t>
  </si>
  <si>
    <t>Total dwellings  with other electric heating</t>
  </si>
  <si>
    <t>Total dwellings with electric heating</t>
  </si>
</sst>
</file>

<file path=xl/styles.xml><?xml version="1.0" encoding="utf-8"?>
<styleSheet xmlns="http://schemas.openxmlformats.org/spreadsheetml/2006/main" xmlns:x14ac="http://schemas.microsoft.com/office/spreadsheetml/2009/9/ac" xmlns:mc="http://schemas.openxmlformats.org/markup-compatibility/2006">
  <numFmts count="16">
    <numFmt numFmtId="164" formatCode="&quot;£&quot;#,##0"/>
    <numFmt numFmtId="165" formatCode="0.0%"/>
    <numFmt numFmtId="166" formatCode="_-* #,##0_-;\-* #,##0_-;_-* &quot;-&quot;??_-;_-@"/>
    <numFmt numFmtId="167" formatCode="_-* #,##0.00_-;\-* #,##0.00_-;_-* &quot;-&quot;??_-;_-@"/>
    <numFmt numFmtId="168" formatCode="0.000"/>
    <numFmt numFmtId="169" formatCode="#,##0.0"/>
    <numFmt numFmtId="170" formatCode="0.000%"/>
    <numFmt numFmtId="171" formatCode="0.0"/>
    <numFmt numFmtId="172" formatCode="#,##0.0;\-#,##0.0"/>
    <numFmt numFmtId="173" formatCode="#,##0.000"/>
    <numFmt numFmtId="174" formatCode="&quot;£&quot;#,##0.00"/>
    <numFmt numFmtId="175" formatCode="#,##0.0_);[Red]\(#,##0.0\)"/>
    <numFmt numFmtId="176" formatCode="&quot;£&quot;#,##0.00_);[Red]\(&quot;£&quot;#,##0.00\)"/>
    <numFmt numFmtId="177" formatCode="d/m/yyyy"/>
    <numFmt numFmtId="178" formatCode="_(* #,##0.00_);_(* \(#,##0.00\);_(* &quot;-&quot;??_);_(@_)"/>
    <numFmt numFmtId="179" formatCode="#,##0_ ;\-#,##0\ "/>
  </numFmts>
  <fonts count="34">
    <font>
      <sz val="12.0"/>
      <color theme="1"/>
      <name val="Calibri"/>
      <scheme val="minor"/>
    </font>
    <font>
      <b/>
      <sz val="12.0"/>
      <color theme="1"/>
      <name val="Calibri"/>
    </font>
    <font>
      <sz val="12.0"/>
      <color theme="1"/>
      <name val="Calibri"/>
    </font>
    <font/>
    <font>
      <sz val="10.0"/>
      <color theme="1"/>
      <name val="Calibri"/>
    </font>
    <font>
      <i/>
      <sz val="12.0"/>
      <color theme="1"/>
      <name val="Calibri"/>
    </font>
    <font>
      <b/>
      <sz val="10.0"/>
      <color theme="1"/>
      <name val="Calibri"/>
    </font>
    <font>
      <sz val="8.0"/>
      <color theme="1"/>
      <name val="Calibri"/>
    </font>
    <font>
      <sz val="11.0"/>
      <color theme="1"/>
      <name val="Calibri"/>
    </font>
    <font>
      <sz val="9.0"/>
      <color theme="1"/>
      <name val="Calibri"/>
    </font>
    <font>
      <sz val="12.0"/>
      <color rgb="FFA5A5A5"/>
      <name val="Calibri"/>
    </font>
    <font>
      <b/>
      <sz val="10.0"/>
      <color theme="1"/>
      <name val="Arial"/>
    </font>
    <font>
      <sz val="12.0"/>
      <color rgb="FF9CC2E5"/>
      <name val="Calibri"/>
    </font>
    <font>
      <sz val="10.0"/>
      <color theme="1"/>
      <name val="Arial"/>
    </font>
    <font>
      <sz val="12.0"/>
      <color theme="0"/>
      <name val="Calibri"/>
    </font>
    <font>
      <sz val="12.0"/>
      <color rgb="FFD8D8D8"/>
      <name val="Calibri"/>
    </font>
    <font>
      <sz val="12.0"/>
      <color rgb="FFE7E6E6"/>
      <name val="Calibri"/>
    </font>
    <font>
      <sz val="12.0"/>
      <color rgb="FF000000"/>
      <name val="Calibri"/>
    </font>
    <font>
      <b/>
      <sz val="12.0"/>
      <color rgb="FF000000"/>
      <name val="Calibri"/>
    </font>
    <font>
      <b/>
      <sz val="12.0"/>
      <color rgb="FFA5A5A5"/>
      <name val="Calibri"/>
    </font>
    <font>
      <b/>
      <sz val="12.0"/>
      <color rgb="FF272727"/>
      <name val="Calibri"/>
    </font>
    <font>
      <sz val="12.0"/>
      <color rgb="FF272727"/>
      <name val="Calibri"/>
    </font>
    <font>
      <sz val="12.0"/>
      <color theme="4"/>
      <name val="Calibri"/>
    </font>
    <font>
      <b/>
      <sz val="12.0"/>
      <color rgb="FFFF0000"/>
      <name val="Calibri"/>
    </font>
    <font>
      <color theme="1"/>
      <name val="Calibri"/>
      <scheme val="minor"/>
    </font>
    <font>
      <sz val="12.0"/>
      <color rgb="FFFF0000"/>
      <name val="Calibri"/>
    </font>
    <font>
      <sz val="12.0"/>
      <color rgb="FFBFBFBF"/>
      <name val="Calibri"/>
    </font>
    <font>
      <b/>
      <sz val="12.0"/>
      <color rgb="FF3F3F3F"/>
      <name val="Calibri"/>
    </font>
    <font>
      <b/>
      <sz val="12.0"/>
      <color theme="4"/>
      <name val="Calibri"/>
    </font>
    <font>
      <b/>
      <i/>
      <sz val="12.0"/>
      <color theme="4"/>
      <name val="Calibri"/>
    </font>
    <font>
      <b/>
      <sz val="11.0"/>
      <color theme="1"/>
      <name val="Calibri"/>
    </font>
    <font>
      <sz val="12.0"/>
      <color rgb="FF7F7F7F"/>
      <name val="Calibri"/>
    </font>
    <font>
      <b/>
      <sz val="11.0"/>
      <color rgb="FF000000"/>
      <name val="Calibri"/>
    </font>
    <font>
      <u/>
      <sz val="12.0"/>
      <color theme="10"/>
      <name val="Calibri"/>
    </font>
  </fonts>
  <fills count="21">
    <fill>
      <patternFill patternType="none"/>
    </fill>
    <fill>
      <patternFill patternType="lightGray"/>
    </fill>
    <fill>
      <patternFill patternType="solid">
        <fgColor rgb="FFA8D08D"/>
        <bgColor rgb="FFA8D08D"/>
      </patternFill>
    </fill>
    <fill>
      <patternFill patternType="solid">
        <fgColor rgb="FFD8D8D8"/>
        <bgColor rgb="FFD8D8D8"/>
      </patternFill>
    </fill>
    <fill>
      <patternFill patternType="solid">
        <fgColor rgb="FFDEEAF6"/>
        <bgColor rgb="FFDEEAF6"/>
      </patternFill>
    </fill>
    <fill>
      <patternFill patternType="solid">
        <fgColor rgb="FFC5E0B3"/>
        <bgColor rgb="FFC5E0B3"/>
      </patternFill>
    </fill>
    <fill>
      <patternFill patternType="solid">
        <fgColor rgb="FFE2EFD9"/>
        <bgColor rgb="FFE2EFD9"/>
      </patternFill>
    </fill>
    <fill>
      <patternFill patternType="solid">
        <fgColor rgb="FFBFBFBF"/>
        <bgColor rgb="FFBFBFBF"/>
      </patternFill>
    </fill>
    <fill>
      <patternFill patternType="solid">
        <fgColor rgb="FFFFF2CB"/>
        <bgColor rgb="FFFFF2CB"/>
      </patternFill>
    </fill>
    <fill>
      <patternFill patternType="solid">
        <fgColor rgb="FFC8C8C8"/>
        <bgColor rgb="FFC8C8C8"/>
      </patternFill>
    </fill>
    <fill>
      <patternFill patternType="solid">
        <fgColor rgb="FFFDFDFD"/>
        <bgColor rgb="FFFDFDFD"/>
      </patternFill>
    </fill>
    <fill>
      <patternFill patternType="solid">
        <fgColor rgb="FFFFD965"/>
        <bgColor rgb="FFFFD965"/>
      </patternFill>
    </fill>
    <fill>
      <patternFill patternType="solid">
        <fgColor rgb="FFFFFFFF"/>
        <bgColor rgb="FFFFFFFF"/>
      </patternFill>
    </fill>
    <fill>
      <patternFill patternType="solid">
        <fgColor rgb="FF9CC2E5"/>
        <bgColor rgb="FF9CC2E5"/>
      </patternFill>
    </fill>
    <fill>
      <patternFill patternType="solid">
        <fgColor rgb="FFF7CAAC"/>
        <bgColor rgb="FFF7CAAC"/>
      </patternFill>
    </fill>
    <fill>
      <patternFill patternType="solid">
        <fgColor rgb="FFFFFF00"/>
        <bgColor rgb="FFFFFF00"/>
      </patternFill>
    </fill>
    <fill>
      <patternFill patternType="solid">
        <fgColor rgb="FFA9D08E"/>
        <bgColor rgb="FFA9D08E"/>
      </patternFill>
    </fill>
    <fill>
      <patternFill patternType="solid">
        <fgColor rgb="FFE2EFDA"/>
        <bgColor rgb="FFE2EFDA"/>
      </patternFill>
    </fill>
    <fill>
      <patternFill patternType="solid">
        <fgColor theme="0"/>
        <bgColor theme="0"/>
      </patternFill>
    </fill>
    <fill>
      <patternFill patternType="solid">
        <fgColor rgb="FFECECEC"/>
        <bgColor rgb="FFECECEC"/>
      </patternFill>
    </fill>
    <fill>
      <patternFill patternType="solid">
        <fgColor rgb="FFF2F2F2"/>
        <bgColor rgb="FFF2F2F2"/>
      </patternFill>
    </fill>
  </fills>
  <borders count="62">
    <border/>
    <border>
      <left/>
      <right/>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style="thin">
        <color rgb="FF000000"/>
      </top>
      <bottom/>
    </border>
    <border>
      <left style="thin">
        <color rgb="FF000000"/>
      </left>
      <right/>
      <top/>
      <bottom style="thin">
        <color rgb="FF000000"/>
      </bottom>
    </border>
    <border>
      <left/>
      <top/>
    </border>
    <border>
      <left/>
      <right/>
      <top/>
      <bottom style="thin">
        <color rgb="FF000000"/>
      </bottom>
    </border>
    <border>
      <top/>
    </border>
    <border>
      <left/>
      <right style="thin">
        <color rgb="FF000000"/>
      </right>
      <top/>
      <bottom style="thin">
        <color rgb="FF000000"/>
      </bottom>
    </border>
    <border>
      <right/>
      <top/>
    </border>
    <border>
      <left/>
    </border>
    <border>
      <right/>
    </border>
    <border>
      <left/>
      <bottom/>
    </border>
    <border>
      <bottom/>
    </border>
    <border>
      <right/>
      <bottom/>
    </border>
    <border>
      <left style="thin">
        <color rgb="FF000000"/>
      </left>
      <top/>
      <bottom/>
    </border>
    <border>
      <top/>
      <bottom/>
    </border>
    <border>
      <right style="thin">
        <color rgb="FF000000"/>
      </right>
      <top/>
      <bottom/>
    </border>
    <border>
      <left style="thin">
        <color rgb="FF000000"/>
      </left>
      <right style="thin">
        <color rgb="FF000000"/>
      </right>
      <top/>
      <bottom/>
    </border>
    <border>
      <left/>
      <top/>
      <bottom/>
    </border>
    <border>
      <right/>
      <top/>
      <bottom/>
    </border>
    <border>
      <left/>
      <right style="thin">
        <color rgb="FF000000"/>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border>
    <border>
      <left style="thin">
        <color rgb="FF000000"/>
      </left>
    </border>
    <border>
      <right style="thin">
        <color rgb="FF000000"/>
      </right>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top style="thin">
        <color rgb="FF000000"/>
      </top>
      <bottom/>
    </border>
    <border>
      <left/>
      <right style="thin">
        <color rgb="FF000000"/>
      </right>
      <top style="thin">
        <color theme="0"/>
      </top>
      <bottom style="thin">
        <color theme="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border>
    <border>
      <right style="medium">
        <color rgb="FF000000"/>
      </right>
    </border>
    <border>
      <left style="medium">
        <color rgb="FF000000"/>
      </left>
      <right/>
      <top/>
      <bottom/>
    </border>
    <border>
      <left/>
      <right style="thin">
        <color rgb="FF000000"/>
      </right>
      <top style="thin">
        <color rgb="FF000000"/>
      </top>
    </border>
    <border>
      <left/>
      <right style="thin">
        <color rgb="FF000000"/>
      </right>
      <bottom/>
    </border>
    <border>
      <left style="medium">
        <color rgb="FF000000"/>
      </left>
      <right/>
      <top/>
      <bottom style="medium">
        <color rgb="FF000000"/>
      </bottom>
    </border>
    <border>
      <left/>
      <right/>
      <top/>
      <bottom style="medium">
        <color rgb="FF000000"/>
      </bottom>
    </border>
    <border>
      <right style="medium">
        <color rgb="FF000000"/>
      </right>
      <bottom style="medium">
        <color rgb="FF000000"/>
      </bottom>
    </border>
  </borders>
  <cellStyleXfs count="1">
    <xf borderId="0" fillId="0" fontId="0" numFmtId="0" applyAlignment="1" applyFont="1"/>
  </cellStyleXfs>
  <cellXfs count="1101">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ill="1" applyFont="1"/>
    <xf borderId="2" fillId="2" fontId="2" numFmtId="0" xfId="0" applyBorder="1" applyFill="1" applyFont="1"/>
    <xf borderId="3" fillId="2" fontId="2" numFmtId="0" xfId="0" applyBorder="1" applyFill="1" applyFont="1"/>
    <xf borderId="4" fillId="2" fontId="2" numFmtId="0" xfId="0" applyBorder="1" applyFill="1" applyFont="1"/>
    <xf borderId="5" fillId="2" fontId="2" numFmtId="0" xfId="0" applyBorder="1" applyFill="1" applyFont="1"/>
    <xf borderId="1" fillId="3" fontId="2" numFmtId="0" xfId="0" applyBorder="1" applyFill="1" applyFont="1"/>
    <xf borderId="6" fillId="2" fontId="1" numFmtId="0" xfId="0" applyAlignment="1" applyBorder="1" applyFill="1" applyFont="1">
      <alignment horizontal="center"/>
    </xf>
    <xf borderId="7" fillId="0" fontId="3" numFmtId="0" xfId="0" applyBorder="1" applyFont="1"/>
    <xf borderId="8" fillId="0" fontId="3" numFmtId="0" xfId="0" applyBorder="1" applyFont="1"/>
    <xf borderId="2" fillId="2" fontId="2" numFmtId="9" xfId="0" applyBorder="1" applyFill="1" applyFont="1" applyNumberFormat="1"/>
    <xf borderId="6" fillId="2" fontId="1" numFmtId="0" xfId="0" applyAlignment="1" applyBorder="1" applyFill="1" applyFont="1">
      <alignment horizontal="left"/>
    </xf>
    <xf borderId="3" fillId="2" fontId="2" numFmtId="9" xfId="0" applyBorder="1" applyFill="1" applyFont="1" applyNumberFormat="1"/>
    <xf borderId="2" fillId="2" fontId="1" numFmtId="0" xfId="0" applyBorder="1" applyFill="1" applyFont="1"/>
    <xf borderId="4" fillId="2" fontId="2" numFmtId="9" xfId="0" applyBorder="1" applyFill="1" applyFont="1" applyNumberFormat="1"/>
    <xf borderId="9" fillId="2" fontId="1" numFmtId="0" xfId="0" applyAlignment="1" applyBorder="1" applyFill="1" applyFont="1">
      <alignment horizontal="center"/>
    </xf>
    <xf borderId="2" fillId="2" fontId="2" numFmtId="164" xfId="0" applyBorder="1" applyFill="1" applyFont="1" applyNumberFormat="1"/>
    <xf borderId="10" fillId="2" fontId="1" numFmtId="0" xfId="0" applyAlignment="1" applyBorder="1" applyFill="1" applyFont="1">
      <alignment horizontal="center"/>
    </xf>
    <xf borderId="11" fillId="3" fontId="4" numFmtId="0" xfId="0" applyAlignment="1" applyBorder="1" applyFill="1" applyFont="1">
      <alignment shrinkToFit="0" vertical="top" wrapText="1"/>
    </xf>
    <xf borderId="12" fillId="2" fontId="1" numFmtId="0" xfId="0" applyAlignment="1" applyBorder="1" applyFill="1" applyFont="1">
      <alignment horizontal="center"/>
    </xf>
    <xf borderId="3" fillId="2" fontId="2" numFmtId="164" xfId="0" applyBorder="1" applyFill="1" applyFont="1" applyNumberFormat="1"/>
    <xf borderId="13" fillId="0" fontId="3" numFmtId="0" xfId="0" applyBorder="1" applyFont="1"/>
    <xf borderId="14" fillId="2" fontId="1" numFmtId="0" xfId="0" applyAlignment="1" applyBorder="1" applyFill="1" applyFont="1">
      <alignment horizontal="center"/>
    </xf>
    <xf borderId="15" fillId="0" fontId="3" numFmtId="0" xfId="0" applyBorder="1" applyFont="1"/>
    <xf borderId="4" fillId="2" fontId="2" numFmtId="164" xfId="0" applyBorder="1" applyFill="1" applyFont="1" applyNumberFormat="1"/>
    <xf borderId="0" fillId="0" fontId="1" numFmtId="0" xfId="0" applyFont="1"/>
    <xf borderId="0" fillId="0" fontId="2" numFmtId="0" xfId="0" applyAlignment="1" applyFont="1">
      <alignment horizontal="center"/>
    </xf>
    <xf borderId="16" fillId="0" fontId="3" numFmtId="0" xfId="0" applyBorder="1" applyFont="1"/>
    <xf borderId="17" fillId="0" fontId="3" numFmtId="0" xfId="0" applyBorder="1" applyFont="1"/>
    <xf borderId="2" fillId="4" fontId="5" numFmtId="0" xfId="0" applyAlignment="1" applyBorder="1" applyFill="1" applyFont="1">
      <alignment vertical="top"/>
    </xf>
    <xf borderId="5" fillId="2" fontId="2" numFmtId="49" xfId="0" applyAlignment="1" applyBorder="1" applyFill="1" applyFont="1" applyNumberFormat="1">
      <alignment horizontal="center" vertical="center"/>
    </xf>
    <xf borderId="1" fillId="2" fontId="1" numFmtId="0" xfId="0" applyAlignment="1" applyBorder="1" applyFill="1" applyFont="1">
      <alignment horizontal="center" shrinkToFit="0" vertical="center" wrapText="1"/>
    </xf>
    <xf borderId="18" fillId="0" fontId="3" numFmtId="0" xfId="0" applyBorder="1" applyFont="1"/>
    <xf borderId="19" fillId="0" fontId="3" numFmtId="0" xfId="0" applyBorder="1" applyFont="1"/>
    <xf borderId="20" fillId="0" fontId="3" numFmtId="0" xfId="0" applyBorder="1" applyFont="1"/>
    <xf borderId="21" fillId="2" fontId="1" numFmtId="164" xfId="0" applyAlignment="1" applyBorder="1" applyFill="1" applyFont="1" applyNumberFormat="1">
      <alignment horizontal="center" shrinkToFit="0" vertical="center" wrapText="1"/>
    </xf>
    <xf borderId="22" fillId="0" fontId="3" numFmtId="0" xfId="0" applyBorder="1" applyFont="1"/>
    <xf borderId="23" fillId="0" fontId="3" numFmtId="0" xfId="0" applyBorder="1" applyFont="1"/>
    <xf borderId="1" fillId="3" fontId="6" numFmtId="0" xfId="0" applyAlignment="1" applyBorder="1" applyFill="1" applyFont="1">
      <alignment vertical="center"/>
    </xf>
    <xf borderId="24" fillId="2" fontId="1" numFmtId="0" xfId="0" applyAlignment="1" applyBorder="1" applyFill="1" applyFont="1">
      <alignment horizontal="center" shrinkToFit="0" vertical="center" wrapText="1"/>
    </xf>
    <xf borderId="1" fillId="3" fontId="7" numFmtId="0" xfId="0" applyAlignment="1" applyBorder="1" applyFill="1" applyFont="1">
      <alignment vertical="center"/>
    </xf>
    <xf borderId="21" fillId="2" fontId="1" numFmtId="0" xfId="0" applyAlignment="1" applyBorder="1" applyFill="1" applyFont="1">
      <alignment horizontal="center" shrinkToFit="0" vertical="center" wrapText="1"/>
    </xf>
    <xf borderId="1" fillId="3" fontId="4" numFmtId="0" xfId="0" applyAlignment="1" applyBorder="1" applyFill="1" applyFont="1">
      <alignment vertical="center"/>
    </xf>
    <xf borderId="21" fillId="2" fontId="1" numFmtId="9" xfId="0" applyAlignment="1" applyBorder="1" applyFill="1" applyFont="1" applyNumberFormat="1">
      <alignment horizontal="center" shrinkToFit="0" vertical="center" wrapText="1"/>
    </xf>
    <xf borderId="25" fillId="3" fontId="4" numFmtId="0" xfId="0" applyAlignment="1" applyBorder="1" applyFill="1" applyFont="1">
      <alignment shrinkToFit="0" vertical="center" wrapText="1"/>
    </xf>
    <xf borderId="26" fillId="0" fontId="3" numFmtId="0" xfId="0" applyBorder="1" applyFont="1"/>
    <xf borderId="2" fillId="4" fontId="2" numFmtId="1" xfId="0" applyAlignment="1" applyBorder="1" applyFill="1" applyFont="1" applyNumberFormat="1">
      <alignment horizontal="center"/>
    </xf>
    <xf borderId="21" fillId="2" fontId="1" numFmtId="0" xfId="0" applyAlignment="1" applyBorder="1" applyFill="1" applyFont="1">
      <alignment horizontal="center" vertical="center"/>
    </xf>
    <xf borderId="1" fillId="3" fontId="8" numFmtId="0" xfId="0" applyAlignment="1" applyBorder="1" applyFill="1" applyFont="1">
      <alignment vertical="center"/>
    </xf>
    <xf borderId="1" fillId="3" fontId="9" numFmtId="0" xfId="0" applyAlignment="1" applyBorder="1" applyFill="1" applyFont="1">
      <alignment vertical="center"/>
    </xf>
    <xf borderId="27" fillId="2" fontId="1" numFmtId="0" xfId="0" applyAlignment="1" applyBorder="1" applyFill="1" applyFont="1">
      <alignment horizontal="center" shrinkToFit="0" vertical="center" wrapText="1"/>
    </xf>
    <xf borderId="24" fillId="2" fontId="1" numFmtId="49" xfId="0" applyAlignment="1" applyBorder="1" applyFill="1" applyFont="1" applyNumberFormat="1">
      <alignment horizontal="center" shrinkToFit="0" vertical="center" wrapText="1"/>
    </xf>
    <xf borderId="28" fillId="5" fontId="1" numFmtId="0" xfId="0" applyBorder="1" applyFill="1" applyFont="1"/>
    <xf borderId="3" fillId="4" fontId="2" numFmtId="1" xfId="0" applyAlignment="1" applyBorder="1" applyFill="1" applyFont="1" applyNumberFormat="1">
      <alignment horizontal="center"/>
    </xf>
    <xf borderId="29" fillId="5" fontId="1" numFmtId="0" xfId="0" applyBorder="1" applyFill="1" applyFont="1"/>
    <xf borderId="30" fillId="5" fontId="1" numFmtId="0" xfId="0" applyBorder="1" applyFill="1" applyFont="1"/>
    <xf borderId="3" fillId="5" fontId="1" numFmtId="164" xfId="0" applyBorder="1" applyFill="1" applyFont="1" applyNumberFormat="1"/>
    <xf borderId="4" fillId="5" fontId="1" numFmtId="164" xfId="0" applyBorder="1" applyFill="1" applyFont="1" applyNumberFormat="1"/>
    <xf borderId="5" fillId="5" fontId="1" numFmtId="164" xfId="0" applyBorder="1" applyFill="1" applyFont="1" applyNumberFormat="1"/>
    <xf borderId="2" fillId="5" fontId="1" numFmtId="164" xfId="0" applyBorder="1" applyFill="1" applyFont="1" applyNumberFormat="1"/>
    <xf borderId="31" fillId="5" fontId="1" numFmtId="9" xfId="0" applyAlignment="1" applyBorder="1" applyFill="1" applyFont="1" applyNumberFormat="1">
      <alignment horizontal="center" shrinkToFit="0" vertical="center" wrapText="1"/>
    </xf>
    <xf borderId="1" fillId="5" fontId="1" numFmtId="9" xfId="0" applyAlignment="1" applyBorder="1" applyFill="1" applyFont="1" applyNumberFormat="1">
      <alignment horizontal="center" shrinkToFit="0" vertical="center" wrapText="1"/>
    </xf>
    <xf borderId="27" fillId="5" fontId="1" numFmtId="9" xfId="0" applyAlignment="1" applyBorder="1" applyFill="1" applyFont="1" applyNumberFormat="1">
      <alignment horizontal="center" shrinkToFit="0" vertical="center" wrapText="1"/>
    </xf>
    <xf borderId="31" fillId="5" fontId="1" numFmtId="164" xfId="0" applyAlignment="1" applyBorder="1" applyFill="1" applyFont="1" applyNumberFormat="1">
      <alignment horizontal="center" shrinkToFit="0" vertical="center" wrapText="1"/>
    </xf>
    <xf borderId="2" fillId="4" fontId="10" numFmtId="1" xfId="0" applyAlignment="1" applyBorder="1" applyFill="1" applyFont="1" applyNumberFormat="1">
      <alignment horizontal="center"/>
    </xf>
    <xf borderId="1" fillId="5" fontId="1" numFmtId="164" xfId="0" applyAlignment="1" applyBorder="1" applyFill="1" applyFont="1" applyNumberFormat="1">
      <alignment horizontal="center" shrinkToFit="0" vertical="center" wrapText="1"/>
    </xf>
    <xf borderId="27" fillId="5" fontId="1" numFmtId="164" xfId="0" applyAlignment="1" applyBorder="1" applyFill="1" applyFont="1" applyNumberFormat="1">
      <alignment horizontal="center" shrinkToFit="0" vertical="center" wrapText="1"/>
    </xf>
    <xf borderId="31" fillId="5" fontId="1" numFmtId="0" xfId="0" applyAlignment="1" applyBorder="1" applyFill="1" applyFont="1">
      <alignment horizontal="center" vertical="center"/>
    </xf>
    <xf borderId="1" fillId="5" fontId="1" numFmtId="0" xfId="0" applyAlignment="1" applyBorder="1" applyFill="1" applyFont="1">
      <alignment horizontal="center" vertical="center"/>
    </xf>
    <xf borderId="27" fillId="5" fontId="1" numFmtId="0" xfId="0" applyAlignment="1" applyBorder="1" applyFill="1" applyFont="1">
      <alignment horizontal="center" vertical="center"/>
    </xf>
    <xf borderId="24" fillId="5" fontId="1" numFmtId="49" xfId="0" applyAlignment="1" applyBorder="1" applyFill="1" applyFont="1" applyNumberFormat="1">
      <alignment horizontal="center" vertical="center"/>
    </xf>
    <xf borderId="3" fillId="4" fontId="10" numFmtId="1" xfId="0" applyAlignment="1" applyBorder="1" applyFill="1" applyFont="1" applyNumberFormat="1">
      <alignment horizontal="center"/>
    </xf>
    <xf borderId="1" fillId="5" fontId="2" numFmtId="0" xfId="0" applyBorder="1" applyFill="1" applyFont="1"/>
    <xf borderId="31" fillId="5" fontId="1" numFmtId="0" xfId="0" applyAlignment="1" applyBorder="1" applyFill="1" applyFont="1">
      <alignment horizontal="center"/>
    </xf>
    <xf borderId="2" fillId="5" fontId="1" numFmtId="0" xfId="0" applyAlignment="1" applyBorder="1" applyFill="1" applyFont="1">
      <alignment horizontal="center"/>
    </xf>
    <xf borderId="3" fillId="5" fontId="1" numFmtId="0" xfId="0" applyAlignment="1" applyBorder="1" applyFill="1" applyFont="1">
      <alignment horizontal="center" vertical="center"/>
    </xf>
    <xf borderId="4" fillId="5" fontId="1" numFmtId="0" xfId="0" applyAlignment="1" applyBorder="1" applyFill="1" applyFont="1">
      <alignment horizontal="center" vertical="center"/>
    </xf>
    <xf borderId="24" fillId="5" fontId="1" numFmtId="0" xfId="0" applyAlignment="1" applyBorder="1" applyFill="1" applyFont="1">
      <alignment horizontal="center" vertical="center"/>
    </xf>
    <xf borderId="1" fillId="5" fontId="1" numFmtId="0" xfId="0" applyAlignment="1" applyBorder="1" applyFill="1" applyFont="1">
      <alignment horizontal="center"/>
    </xf>
    <xf borderId="4" fillId="4" fontId="10" numFmtId="1" xfId="0" applyAlignment="1" applyBorder="1" applyFill="1" applyFont="1" applyNumberFormat="1">
      <alignment horizontal="center"/>
    </xf>
    <xf borderId="1" fillId="5" fontId="11" numFmtId="9" xfId="0" applyAlignment="1" applyBorder="1" applyFill="1" applyFont="1" applyNumberFormat="1">
      <alignment horizontal="center" vertical="center"/>
    </xf>
    <xf borderId="1" fillId="5" fontId="1" numFmtId="9" xfId="0" applyAlignment="1" applyBorder="1" applyFill="1" applyFont="1" applyNumberFormat="1">
      <alignment horizontal="center" vertical="center"/>
    </xf>
    <xf borderId="27" fillId="5" fontId="1" numFmtId="9" xfId="0" applyAlignment="1" applyBorder="1" applyFill="1" applyFont="1" applyNumberFormat="1">
      <alignment horizontal="center" vertical="center"/>
    </xf>
    <xf borderId="31" fillId="5" fontId="11" numFmtId="164" xfId="0" applyAlignment="1" applyBorder="1" applyFill="1" applyFont="1" applyNumberFormat="1">
      <alignment horizontal="center" vertical="center"/>
    </xf>
    <xf borderId="1" fillId="5" fontId="1" numFmtId="164" xfId="0" applyAlignment="1" applyBorder="1" applyFill="1" applyFont="1" applyNumberFormat="1">
      <alignment horizontal="center" vertical="center"/>
    </xf>
    <xf borderId="27" fillId="5" fontId="1" numFmtId="164" xfId="0" applyAlignment="1" applyBorder="1" applyFill="1" applyFont="1" applyNumberFormat="1">
      <alignment horizontal="center" vertical="center"/>
    </xf>
    <xf borderId="31" fillId="5" fontId="11" numFmtId="3" xfId="0" applyAlignment="1" applyBorder="1" applyFill="1" applyFont="1" applyNumberFormat="1">
      <alignment horizontal="center" vertical="center"/>
    </xf>
    <xf borderId="24" fillId="5" fontId="2" numFmtId="49" xfId="0" applyAlignment="1" applyBorder="1" applyFill="1" applyFont="1" applyNumberFormat="1">
      <alignment horizontal="center" vertical="center"/>
    </xf>
    <xf borderId="3" fillId="4" fontId="2" numFmtId="165" xfId="0" applyAlignment="1" applyBorder="1" applyFill="1" applyFont="1" applyNumberFormat="1">
      <alignment horizontal="center"/>
    </xf>
    <xf borderId="1" fillId="2" fontId="1" numFmtId="0" xfId="0" applyAlignment="1" applyBorder="1" applyFill="1" applyFont="1">
      <alignment shrinkToFit="0" wrapText="1"/>
    </xf>
    <xf borderId="32" fillId="0" fontId="1" numFmtId="0" xfId="0" applyAlignment="1" applyBorder="1" applyFont="1">
      <alignment horizontal="center" shrinkToFit="0" wrapText="1"/>
    </xf>
    <xf borderId="0" fillId="0" fontId="1" numFmtId="0" xfId="0" applyAlignment="1" applyFont="1">
      <alignment horizontal="center" shrinkToFit="0" wrapText="1"/>
    </xf>
    <xf borderId="33" fillId="0" fontId="1" numFmtId="0" xfId="0" applyAlignment="1" applyBorder="1" applyFont="1">
      <alignment horizontal="center" shrinkToFit="0" wrapText="1"/>
    </xf>
    <xf borderId="34" fillId="0" fontId="1" numFmtId="0" xfId="0" applyAlignment="1" applyBorder="1" applyFont="1">
      <alignment horizontal="center" shrinkToFit="0" wrapText="1"/>
    </xf>
    <xf borderId="0" fillId="0" fontId="1" numFmtId="9" xfId="0" applyAlignment="1" applyFont="1" applyNumberFormat="1">
      <alignment horizontal="center" shrinkToFit="0" wrapText="1"/>
    </xf>
    <xf borderId="4" fillId="4" fontId="2" numFmtId="165" xfId="0" applyAlignment="1" applyBorder="1" applyFill="1" applyFont="1" applyNumberFormat="1">
      <alignment horizontal="center"/>
    </xf>
    <xf borderId="0" fillId="0" fontId="12" numFmtId="0" xfId="0" applyFont="1"/>
    <xf borderId="0" fillId="0" fontId="2" numFmtId="0" xfId="0" applyFont="1"/>
    <xf borderId="0" fillId="0" fontId="2" numFmtId="9" xfId="0" applyAlignment="1" applyFont="1" applyNumberFormat="1">
      <alignment horizontal="center" vertical="center"/>
    </xf>
    <xf borderId="31" fillId="4" fontId="5" numFmtId="0" xfId="0" applyAlignment="1" applyBorder="1" applyFill="1" applyFont="1">
      <alignment vertical="top"/>
    </xf>
    <xf borderId="33" fillId="0" fontId="2" numFmtId="9" xfId="0" applyAlignment="1" applyBorder="1" applyFont="1" applyNumberFormat="1">
      <alignment horizontal="center" vertical="center"/>
    </xf>
    <xf borderId="32" fillId="0" fontId="2" numFmtId="164" xfId="0" applyAlignment="1" applyBorder="1" applyFont="1" applyNumberFormat="1">
      <alignment horizontal="center" shrinkToFit="0" vertical="center" wrapText="1"/>
    </xf>
    <xf borderId="0" fillId="0" fontId="13" numFmtId="164" xfId="0" applyAlignment="1" applyFont="1" applyNumberFormat="1">
      <alignment horizontal="center" vertical="center"/>
    </xf>
    <xf borderId="33" fillId="0" fontId="13" numFmtId="164" xfId="0" applyAlignment="1" applyBorder="1" applyFont="1" applyNumberFormat="1">
      <alignment horizontal="center" vertical="center"/>
    </xf>
    <xf borderId="32" fillId="0" fontId="14" numFmtId="0" xfId="0" applyAlignment="1" applyBorder="1" applyFont="1">
      <alignment horizontal="center" vertical="center"/>
    </xf>
    <xf borderId="0" fillId="0" fontId="14" numFmtId="0" xfId="0" applyAlignment="1" applyFont="1">
      <alignment horizontal="center" vertical="center"/>
    </xf>
    <xf borderId="33" fillId="0" fontId="14" numFmtId="166" xfId="0" applyAlignment="1" applyBorder="1" applyFont="1" applyNumberFormat="1">
      <alignment horizontal="center" vertical="center"/>
    </xf>
    <xf borderId="32" fillId="0" fontId="2" numFmtId="166" xfId="0" applyAlignment="1" applyBorder="1" applyFont="1" applyNumberFormat="1">
      <alignment horizontal="center" vertical="center"/>
    </xf>
    <xf borderId="0" fillId="0" fontId="2" numFmtId="166" xfId="0" applyAlignment="1" applyFont="1" applyNumberFormat="1">
      <alignment horizontal="center" vertical="center"/>
    </xf>
    <xf borderId="33" fillId="0" fontId="2" numFmtId="166" xfId="0" applyAlignment="1" applyBorder="1" applyFont="1" applyNumberFormat="1">
      <alignment horizontal="center" vertical="center"/>
    </xf>
    <xf borderId="34" fillId="0" fontId="2" numFmtId="49" xfId="0" applyAlignment="1" applyBorder="1" applyFont="1" applyNumberFormat="1">
      <alignment horizontal="center" vertical="center"/>
    </xf>
    <xf borderId="31" fillId="4" fontId="2" numFmtId="1" xfId="0" applyAlignment="1" applyBorder="1" applyFill="1" applyFont="1" applyNumberFormat="1">
      <alignment horizontal="center"/>
    </xf>
    <xf borderId="31" fillId="6" fontId="2" numFmtId="1" xfId="0" applyAlignment="1" applyBorder="1" applyFill="1" applyFont="1" applyNumberFormat="1">
      <alignment horizontal="center"/>
    </xf>
    <xf borderId="1" fillId="4" fontId="2" numFmtId="1" xfId="0" applyAlignment="1" applyBorder="1" applyFill="1" applyFont="1" applyNumberFormat="1">
      <alignment horizontal="center"/>
    </xf>
    <xf borderId="1" fillId="6" fontId="2" numFmtId="1" xfId="0" applyAlignment="1" applyBorder="1" applyFill="1" applyFont="1" applyNumberFormat="1">
      <alignment horizontal="center"/>
    </xf>
    <xf borderId="1" fillId="2" fontId="1" numFmtId="0" xfId="0" applyAlignment="1" applyBorder="1" applyFill="1" applyFont="1">
      <alignment shrinkToFit="0" vertical="center" wrapText="1"/>
    </xf>
    <xf borderId="27" fillId="6" fontId="2" numFmtId="1" xfId="0" applyAlignment="1" applyBorder="1" applyFill="1" applyFont="1" applyNumberFormat="1">
      <alignment horizontal="center"/>
    </xf>
    <xf borderId="0" fillId="0" fontId="2" numFmtId="0" xfId="0" applyAlignment="1" applyFont="1">
      <alignment shrinkToFit="0" vertical="center" wrapText="1"/>
    </xf>
    <xf borderId="1" fillId="6" fontId="1" numFmtId="0" xfId="0" applyAlignment="1" applyBorder="1" applyFill="1" applyFont="1">
      <alignment vertical="center"/>
    </xf>
    <xf borderId="1" fillId="6" fontId="2" numFmtId="0" xfId="0" applyAlignment="1" applyBorder="1" applyFill="1" applyFont="1">
      <alignment shrinkToFit="0" vertical="center" wrapText="1"/>
    </xf>
    <xf borderId="25" fillId="6" fontId="2" numFmtId="0" xfId="0" applyAlignment="1" applyBorder="1" applyFill="1" applyFont="1">
      <alignment shrinkToFit="0" vertical="center" wrapText="1"/>
    </xf>
    <xf borderId="31" fillId="4" fontId="10" numFmtId="1" xfId="0" applyAlignment="1" applyBorder="1" applyFill="1" applyFont="1" applyNumberFormat="1">
      <alignment horizontal="center"/>
    </xf>
    <xf borderId="1" fillId="6" fontId="2" numFmtId="0" xfId="0" applyAlignment="1" applyBorder="1" applyFill="1" applyFont="1">
      <alignment vertical="center"/>
    </xf>
    <xf borderId="1" fillId="6" fontId="2" numFmtId="0" xfId="0" applyBorder="1" applyFill="1" applyFont="1"/>
    <xf borderId="1" fillId="4" fontId="10" numFmtId="1" xfId="0" applyAlignment="1" applyBorder="1" applyFill="1" applyFont="1" applyNumberFormat="1">
      <alignment horizontal="center"/>
    </xf>
    <xf borderId="25" fillId="6" fontId="2" numFmtId="0" xfId="0" applyAlignment="1" applyBorder="1" applyFill="1" applyFont="1">
      <alignment horizontal="left" shrinkToFit="0" vertical="center" wrapText="1"/>
    </xf>
    <xf borderId="24" fillId="6" fontId="2" numFmtId="165" xfId="0" applyAlignment="1" applyBorder="1" applyFill="1" applyFont="1" applyNumberFormat="1">
      <alignment horizontal="center"/>
    </xf>
    <xf borderId="27" fillId="4" fontId="10" numFmtId="1" xfId="0" applyAlignment="1" applyBorder="1" applyFill="1" applyFont="1" applyNumberFormat="1">
      <alignment horizontal="center"/>
    </xf>
    <xf borderId="0" fillId="0" fontId="2" numFmtId="0" xfId="0" applyAlignment="1" applyFont="1">
      <alignment horizontal="left" shrinkToFit="0" vertical="center" wrapText="1"/>
    </xf>
    <xf borderId="1" fillId="6" fontId="2" numFmtId="167" xfId="0" applyAlignment="1" applyBorder="1" applyFill="1" applyFont="1" applyNumberFormat="1">
      <alignment horizontal="center" vertical="center"/>
    </xf>
    <xf borderId="2" fillId="7" fontId="1" numFmtId="0" xfId="0" applyAlignment="1" applyBorder="1" applyFill="1" applyFont="1">
      <alignment horizontal="left" shrinkToFit="0" vertical="center" wrapText="1"/>
    </xf>
    <xf borderId="3" fillId="7" fontId="2" numFmtId="0" xfId="0" applyBorder="1" applyFill="1" applyFont="1"/>
    <xf borderId="31" fillId="6" fontId="2" numFmtId="167" xfId="0" applyAlignment="1" applyBorder="1" applyFill="1" applyFont="1" applyNumberFormat="1">
      <alignment horizontal="right" vertical="center"/>
    </xf>
    <xf borderId="1" fillId="4" fontId="2" numFmtId="165" xfId="0" applyAlignment="1" applyBorder="1" applyFill="1" applyFont="1" applyNumberFormat="1">
      <alignment horizontal="center"/>
    </xf>
    <xf borderId="4" fillId="7" fontId="2" numFmtId="0" xfId="0" applyBorder="1" applyFill="1" applyFont="1"/>
    <xf borderId="31" fillId="7" fontId="2" numFmtId="0" xfId="0" applyAlignment="1" applyBorder="1" applyFill="1" applyFont="1">
      <alignment horizontal="left" shrinkToFit="0" vertical="center" wrapText="1"/>
    </xf>
    <xf borderId="1" fillId="6" fontId="2" numFmtId="167" xfId="0" applyAlignment="1" applyBorder="1" applyFill="1" applyFont="1" applyNumberFormat="1">
      <alignment horizontal="right" vertical="center"/>
    </xf>
    <xf borderId="1" fillId="7" fontId="2" numFmtId="0" xfId="0" applyAlignment="1" applyBorder="1" applyFill="1" applyFont="1">
      <alignment horizontal="center"/>
    </xf>
    <xf borderId="1" fillId="7" fontId="2" numFmtId="0" xfId="0" applyAlignment="1" applyBorder="1" applyFill="1" applyFont="1">
      <alignment horizontal="center" shrinkToFit="0" wrapText="1"/>
    </xf>
    <xf borderId="27" fillId="6" fontId="2" numFmtId="167" xfId="0" applyAlignment="1" applyBorder="1" applyFill="1" applyFont="1" applyNumberFormat="1">
      <alignment horizontal="right" vertical="center"/>
    </xf>
    <xf borderId="27" fillId="4" fontId="2" numFmtId="165" xfId="0" applyAlignment="1" applyBorder="1" applyFill="1" applyFont="1" applyNumberFormat="1">
      <alignment horizontal="center"/>
    </xf>
    <xf borderId="27" fillId="7" fontId="2" numFmtId="0" xfId="0" applyAlignment="1" applyBorder="1" applyFill="1" applyFont="1">
      <alignment horizontal="center"/>
    </xf>
    <xf borderId="24" fillId="3" fontId="2" numFmtId="0" xfId="0" applyAlignment="1" applyBorder="1" applyFill="1" applyFont="1">
      <alignment horizontal="left" shrinkToFit="0" vertical="center" wrapText="1"/>
    </xf>
    <xf borderId="35" fillId="0" fontId="2" numFmtId="0" xfId="0" applyAlignment="1" applyBorder="1" applyFont="1">
      <alignment horizontal="center"/>
    </xf>
    <xf borderId="36" fillId="0" fontId="2" numFmtId="0" xfId="0" applyBorder="1" applyFont="1"/>
    <xf borderId="36" fillId="0" fontId="2" numFmtId="0" xfId="0" applyAlignment="1" applyBorder="1" applyFont="1">
      <alignment horizontal="center" shrinkToFit="0" wrapText="1"/>
    </xf>
    <xf borderId="36" fillId="0" fontId="2" numFmtId="0" xfId="0" applyAlignment="1" applyBorder="1" applyFont="1">
      <alignment horizontal="center"/>
    </xf>
    <xf borderId="37" fillId="0" fontId="2" numFmtId="0" xfId="0" applyAlignment="1" applyBorder="1" applyFont="1">
      <alignment horizontal="center" shrinkToFit="0" wrapText="1"/>
    </xf>
    <xf borderId="0" fillId="0" fontId="15" numFmtId="0" xfId="0" applyAlignment="1" applyFont="1">
      <alignment horizontal="center"/>
    </xf>
    <xf borderId="0" fillId="0" fontId="16" numFmtId="0" xfId="0" applyFont="1"/>
    <xf borderId="1" fillId="6" fontId="2" numFmtId="9" xfId="0" applyAlignment="1" applyBorder="1" applyFill="1" applyFont="1" applyNumberFormat="1">
      <alignment horizontal="center" vertical="center"/>
    </xf>
    <xf borderId="32" fillId="0" fontId="2" numFmtId="0" xfId="0" applyAlignment="1" applyBorder="1" applyFont="1">
      <alignment horizontal="center"/>
    </xf>
    <xf borderId="0" fillId="0" fontId="2" numFmtId="0" xfId="0" applyAlignment="1" applyFont="1">
      <alignment horizontal="center" shrinkToFit="0" wrapText="1"/>
    </xf>
    <xf borderId="1" fillId="8" fontId="2" numFmtId="0" xfId="0" applyAlignment="1" applyBorder="1" applyFill="1" applyFont="1">
      <alignment horizontal="center"/>
    </xf>
    <xf borderId="1" fillId="8" fontId="2" numFmtId="9" xfId="0" applyAlignment="1" applyBorder="1" applyFill="1" applyFont="1" applyNumberFormat="1">
      <alignment horizontal="center"/>
    </xf>
    <xf borderId="27" fillId="6" fontId="2" numFmtId="9" xfId="0" applyAlignment="1" applyBorder="1" applyFill="1" applyFont="1" applyNumberFormat="1">
      <alignment horizontal="center" vertical="center"/>
    </xf>
    <xf borderId="27" fillId="6" fontId="2" numFmtId="0" xfId="0" applyAlignment="1" applyBorder="1" applyFill="1" applyFont="1">
      <alignment horizontal="center"/>
    </xf>
    <xf borderId="0" fillId="0" fontId="15" numFmtId="0" xfId="0" applyFont="1"/>
    <xf borderId="24" fillId="3" fontId="2" numFmtId="0" xfId="0" applyAlignment="1" applyBorder="1" applyFill="1" applyFont="1">
      <alignment shrinkToFit="0" vertical="center" wrapText="1"/>
    </xf>
    <xf borderId="31" fillId="8" fontId="2" numFmtId="168" xfId="0" applyAlignment="1" applyBorder="1" applyFill="1" applyFont="1" applyNumberFormat="1">
      <alignment horizontal="center"/>
    </xf>
    <xf borderId="31" fillId="6" fontId="2" numFmtId="164" xfId="0" applyAlignment="1" applyBorder="1" applyFill="1" applyFont="1" applyNumberFormat="1">
      <alignment horizontal="center" vertical="center"/>
    </xf>
    <xf borderId="1" fillId="8" fontId="2" numFmtId="168" xfId="0" applyAlignment="1" applyBorder="1" applyFill="1" applyFont="1" applyNumberFormat="1">
      <alignment horizontal="center"/>
    </xf>
    <xf borderId="33" fillId="0" fontId="2" numFmtId="0" xfId="0" applyBorder="1" applyFont="1"/>
    <xf borderId="0" fillId="0" fontId="16" numFmtId="168" xfId="0" applyFont="1" applyNumberFormat="1"/>
    <xf borderId="1" fillId="6" fontId="2" numFmtId="164" xfId="0" applyAlignment="1" applyBorder="1" applyFill="1" applyFont="1" applyNumberFormat="1">
      <alignment horizontal="center" vertical="center"/>
    </xf>
    <xf borderId="24" fillId="3" fontId="1" numFmtId="0" xfId="0" applyAlignment="1" applyBorder="1" applyFill="1" applyFont="1">
      <alignment horizontal="left" shrinkToFit="0" vertical="center" wrapText="1"/>
    </xf>
    <xf borderId="31" fillId="6" fontId="2" numFmtId="168" xfId="0" applyAlignment="1" applyBorder="1" applyFill="1" applyFont="1" applyNumberFormat="1">
      <alignment horizontal="center"/>
    </xf>
    <xf borderId="27" fillId="6" fontId="2" numFmtId="164" xfId="0" applyAlignment="1" applyBorder="1" applyFill="1" applyFont="1" applyNumberFormat="1">
      <alignment horizontal="center" vertical="center"/>
    </xf>
    <xf borderId="0" fillId="0" fontId="10" numFmtId="0" xfId="0" applyAlignment="1" applyFont="1">
      <alignment horizontal="center"/>
    </xf>
    <xf borderId="33" fillId="0" fontId="2" numFmtId="0" xfId="0" applyAlignment="1" applyBorder="1" applyFont="1">
      <alignment horizontal="center"/>
    </xf>
    <xf borderId="31" fillId="6" fontId="2" numFmtId="3" xfId="0" applyAlignment="1" applyBorder="1" applyFill="1" applyFont="1" applyNumberFormat="1">
      <alignment horizontal="center" vertical="center"/>
    </xf>
    <xf borderId="24" fillId="3" fontId="1" numFmtId="0" xfId="0" applyAlignment="1" applyBorder="1" applyFill="1" applyFont="1">
      <alignment shrinkToFit="0" vertical="center" wrapText="1"/>
    </xf>
    <xf borderId="1" fillId="6" fontId="2" numFmtId="3" xfId="0" applyAlignment="1" applyBorder="1" applyFill="1" applyFont="1" applyNumberFormat="1">
      <alignment horizontal="center" vertical="center"/>
    </xf>
    <xf borderId="27" fillId="6" fontId="2" numFmtId="3" xfId="0" applyAlignment="1" applyBorder="1" applyFill="1" applyFont="1" applyNumberFormat="1">
      <alignment horizontal="center" vertical="center"/>
    </xf>
    <xf borderId="10" fillId="4" fontId="5" numFmtId="0" xfId="0" applyAlignment="1" applyBorder="1" applyFill="1" applyFont="1">
      <alignment shrinkToFit="0" vertical="top" wrapText="1"/>
    </xf>
    <xf borderId="0" fillId="0" fontId="2" numFmtId="168" xfId="0" applyAlignment="1" applyFont="1" applyNumberFormat="1">
      <alignment horizontal="center"/>
    </xf>
    <xf borderId="31" fillId="6" fontId="2" numFmtId="169" xfId="0" applyAlignment="1" applyBorder="1" applyFill="1" applyFont="1" applyNumberFormat="1">
      <alignment horizontal="center" vertical="center"/>
    </xf>
    <xf borderId="1" fillId="6" fontId="2" numFmtId="169" xfId="0" applyAlignment="1" applyBorder="1" applyFill="1" applyFont="1" applyNumberFormat="1">
      <alignment horizontal="center" vertical="center"/>
    </xf>
    <xf borderId="1" fillId="6" fontId="2" numFmtId="168" xfId="0" applyAlignment="1" applyBorder="1" applyFill="1" applyFont="1" applyNumberFormat="1">
      <alignment horizontal="center"/>
    </xf>
    <xf borderId="27" fillId="6" fontId="2" numFmtId="169" xfId="0" applyAlignment="1" applyBorder="1" applyFill="1" applyFont="1" applyNumberFormat="1">
      <alignment horizontal="center" vertical="center"/>
    </xf>
    <xf borderId="10" fillId="4" fontId="2" numFmtId="1" xfId="0" applyAlignment="1" applyBorder="1" applyFill="1" applyFont="1" applyNumberFormat="1">
      <alignment horizontal="center"/>
    </xf>
    <xf borderId="12" fillId="4" fontId="2" numFmtId="1" xfId="0" applyAlignment="1" applyBorder="1" applyFill="1" applyFont="1" applyNumberFormat="1">
      <alignment horizontal="center"/>
    </xf>
    <xf borderId="0" fillId="0" fontId="15" numFmtId="168" xfId="0" applyFont="1" applyNumberFormat="1"/>
    <xf borderId="24" fillId="6" fontId="2" numFmtId="49" xfId="0" applyAlignment="1" applyBorder="1" applyFill="1" applyFont="1" applyNumberFormat="1">
      <alignment horizontal="center" shrinkToFit="0" vertical="center" wrapText="1"/>
    </xf>
    <xf borderId="0" fillId="0" fontId="15" numFmtId="170" xfId="0" applyAlignment="1" applyFont="1" applyNumberFormat="1">
      <alignment vertical="center"/>
    </xf>
    <xf borderId="0" fillId="0" fontId="2" numFmtId="170" xfId="0" applyAlignment="1" applyFont="1" applyNumberFormat="1">
      <alignment vertical="center"/>
    </xf>
    <xf borderId="0" fillId="0" fontId="2" numFmtId="3" xfId="0" applyFont="1" applyNumberFormat="1"/>
    <xf borderId="1" fillId="8" fontId="2" numFmtId="2" xfId="0" applyAlignment="1" applyBorder="1" applyFill="1" applyFont="1" applyNumberFormat="1">
      <alignment horizontal="center"/>
    </xf>
    <xf borderId="10" fillId="4" fontId="10" numFmtId="1" xfId="0" applyAlignment="1" applyBorder="1" applyFill="1" applyFont="1" applyNumberFormat="1">
      <alignment horizontal="center"/>
    </xf>
    <xf borderId="0" fillId="0" fontId="15" numFmtId="2" xfId="0" applyFont="1" applyNumberFormat="1"/>
    <xf borderId="38" fillId="3" fontId="17" numFmtId="0" xfId="0" applyAlignment="1" applyBorder="1" applyFill="1" applyFont="1">
      <alignment shrinkToFit="0" vertical="center" wrapText="1"/>
    </xf>
    <xf borderId="39" fillId="0" fontId="2" numFmtId="168" xfId="0" applyAlignment="1" applyBorder="1" applyFont="1" applyNumberFormat="1">
      <alignment horizontal="center"/>
    </xf>
    <xf borderId="12" fillId="4" fontId="10" numFmtId="1" xfId="0" applyAlignment="1" applyBorder="1" applyFill="1" applyFont="1" applyNumberFormat="1">
      <alignment horizontal="center"/>
    </xf>
    <xf borderId="40" fillId="0" fontId="2" numFmtId="0" xfId="0" applyBorder="1" applyFont="1"/>
    <xf borderId="40" fillId="0" fontId="2" numFmtId="0" xfId="0" applyAlignment="1" applyBorder="1" applyFont="1">
      <alignment horizontal="center"/>
    </xf>
    <xf borderId="41" fillId="0" fontId="2" numFmtId="0" xfId="0" applyAlignment="1" applyBorder="1" applyFont="1">
      <alignment horizontal="center"/>
    </xf>
    <xf borderId="0" fillId="0" fontId="17" numFmtId="0" xfId="0" applyAlignment="1" applyFont="1">
      <alignment shrinkToFit="0" vertical="center" wrapText="1"/>
    </xf>
    <xf borderId="0" fillId="0" fontId="2" numFmtId="168" xfId="0" applyFont="1" applyNumberFormat="1"/>
    <xf borderId="0" fillId="0" fontId="1" numFmtId="0" xfId="0" applyAlignment="1" applyFont="1">
      <alignment shrinkToFit="0" vertical="center" wrapText="1"/>
    </xf>
    <xf borderId="14" fillId="4" fontId="10" numFmtId="1" xfId="0" applyAlignment="1" applyBorder="1" applyFill="1" applyFont="1" applyNumberFormat="1">
      <alignment horizontal="center"/>
    </xf>
    <xf borderId="2" fillId="7" fontId="2" numFmtId="0" xfId="0" applyAlignment="1" applyBorder="1" applyFill="1" applyFont="1">
      <alignment shrinkToFit="0" vertical="center" wrapText="1"/>
    </xf>
    <xf borderId="28" fillId="7" fontId="2" numFmtId="0" xfId="0" applyAlignment="1" applyBorder="1" applyFill="1" applyFont="1">
      <alignment horizontal="center" vertical="center"/>
    </xf>
    <xf borderId="29" fillId="7" fontId="2" numFmtId="0" xfId="0" applyAlignment="1" applyBorder="1" applyFill="1" applyFont="1">
      <alignment horizontal="center" vertical="center"/>
    </xf>
    <xf borderId="30" fillId="7" fontId="2" numFmtId="0" xfId="0" applyAlignment="1" applyBorder="1" applyFill="1" applyFont="1">
      <alignment horizontal="center" vertical="center"/>
    </xf>
    <xf borderId="2" fillId="3" fontId="2" numFmtId="0" xfId="0" applyAlignment="1" applyBorder="1" applyFill="1" applyFont="1">
      <alignment shrinkToFit="0" vertical="center" wrapText="1"/>
    </xf>
    <xf borderId="12" fillId="4" fontId="2" numFmtId="165" xfId="0" applyAlignment="1" applyBorder="1" applyFill="1" applyFont="1" applyNumberFormat="1">
      <alignment horizontal="center"/>
    </xf>
    <xf borderId="35" fillId="0" fontId="2" numFmtId="165" xfId="0" applyAlignment="1" applyBorder="1" applyFont="1" applyNumberFormat="1">
      <alignment horizontal="center"/>
    </xf>
    <xf borderId="36" fillId="0" fontId="2" numFmtId="165" xfId="0" applyAlignment="1" applyBorder="1" applyFont="1" applyNumberFormat="1">
      <alignment horizontal="center"/>
    </xf>
    <xf borderId="14" fillId="4" fontId="2" numFmtId="165" xfId="0" applyAlignment="1" applyBorder="1" applyFill="1" applyFont="1" applyNumberFormat="1">
      <alignment horizontal="center"/>
    </xf>
    <xf borderId="32" fillId="0" fontId="2" numFmtId="0" xfId="0" applyBorder="1" applyFont="1"/>
    <xf borderId="37" fillId="0" fontId="2" numFmtId="165" xfId="0" applyAlignment="1" applyBorder="1" applyFont="1" applyNumberFormat="1">
      <alignment horizontal="center"/>
    </xf>
    <xf borderId="10" fillId="3" fontId="2" numFmtId="0" xfId="0" applyAlignment="1" applyBorder="1" applyFill="1" applyFont="1">
      <alignment shrinkToFit="0" vertical="center" wrapText="1"/>
    </xf>
    <xf borderId="33" fillId="0" fontId="10" numFmtId="0" xfId="0" applyAlignment="1" applyBorder="1" applyFont="1">
      <alignment horizontal="center"/>
    </xf>
    <xf borderId="42" fillId="0" fontId="2" numFmtId="0" xfId="0" applyAlignment="1" applyBorder="1" applyFont="1">
      <alignment horizontal="center"/>
    </xf>
    <xf borderId="35" fillId="0" fontId="2" numFmtId="0" xfId="0" applyBorder="1" applyFont="1"/>
    <xf borderId="39" fillId="0" fontId="2" numFmtId="165" xfId="0" applyAlignment="1" applyBorder="1" applyFont="1" applyNumberFormat="1">
      <alignment horizontal="center"/>
    </xf>
    <xf borderId="40" fillId="0" fontId="2" numFmtId="165" xfId="0" applyAlignment="1" applyBorder="1" applyFont="1" applyNumberFormat="1">
      <alignment horizontal="center"/>
    </xf>
    <xf borderId="35" fillId="0" fontId="2" numFmtId="1" xfId="0" applyAlignment="1" applyBorder="1" applyFont="1" applyNumberFormat="1">
      <alignment horizontal="center"/>
    </xf>
    <xf borderId="36" fillId="0" fontId="2" numFmtId="1" xfId="0" applyAlignment="1" applyBorder="1" applyFont="1" applyNumberFormat="1">
      <alignment horizontal="center"/>
    </xf>
    <xf borderId="41" fillId="0" fontId="2" numFmtId="165" xfId="0" applyAlignment="1" applyBorder="1" applyFont="1" applyNumberFormat="1">
      <alignment horizontal="center"/>
    </xf>
    <xf borderId="37" fillId="0" fontId="2" numFmtId="1" xfId="0" applyAlignment="1" applyBorder="1" applyFont="1" applyNumberFormat="1">
      <alignment horizontal="center"/>
    </xf>
    <xf borderId="36" fillId="0" fontId="10" numFmtId="1" xfId="0" applyAlignment="1" applyBorder="1" applyFont="1" applyNumberFormat="1">
      <alignment horizontal="center"/>
    </xf>
    <xf borderId="37" fillId="0" fontId="10" numFmtId="1" xfId="0" applyAlignment="1" applyBorder="1" applyFont="1" applyNumberFormat="1">
      <alignment horizontal="center"/>
    </xf>
    <xf borderId="35" fillId="0" fontId="2" numFmtId="0" xfId="0" applyAlignment="1" applyBorder="1" applyFont="1">
      <alignment horizontal="left"/>
    </xf>
    <xf borderId="37" fillId="0" fontId="2" numFmtId="0" xfId="0" applyAlignment="1" applyBorder="1" applyFont="1">
      <alignment horizontal="center"/>
    </xf>
    <xf borderId="32" fillId="0" fontId="2" numFmtId="0" xfId="0" applyAlignment="1" applyBorder="1" applyFont="1">
      <alignment shrinkToFit="0" wrapText="1"/>
    </xf>
    <xf borderId="2" fillId="3" fontId="18" numFmtId="0" xfId="0" applyAlignment="1" applyBorder="1" applyFill="1" applyFont="1">
      <alignment shrinkToFit="0" vertical="center" wrapText="1"/>
    </xf>
    <xf borderId="32" fillId="0" fontId="2" numFmtId="165" xfId="0" applyAlignment="1" applyBorder="1" applyFont="1" applyNumberFormat="1">
      <alignment horizontal="center"/>
    </xf>
    <xf borderId="2" fillId="3" fontId="2" numFmtId="0" xfId="0" applyBorder="1" applyFill="1" applyFont="1"/>
    <xf borderId="3" fillId="3" fontId="2" numFmtId="0" xfId="0" applyBorder="1" applyFill="1" applyFont="1"/>
    <xf borderId="0" fillId="0" fontId="2" numFmtId="165" xfId="0" applyAlignment="1" applyFont="1" applyNumberFormat="1">
      <alignment horizontal="center"/>
    </xf>
    <xf borderId="4" fillId="3" fontId="2" numFmtId="0" xfId="0" applyBorder="1" applyFill="1" applyFont="1"/>
    <xf borderId="1" fillId="2" fontId="1" numFmtId="49" xfId="0" applyAlignment="1" applyBorder="1" applyFill="1" applyFont="1" applyNumberFormat="1">
      <alignment shrinkToFit="0" wrapText="1"/>
    </xf>
    <xf borderId="10" fillId="3" fontId="2" numFmtId="0" xfId="0" applyAlignment="1" applyBorder="1" applyFill="1" applyFont="1">
      <alignment shrinkToFit="0" wrapText="1"/>
    </xf>
    <xf borderId="33" fillId="0" fontId="2" numFmtId="165" xfId="0" applyAlignment="1" applyBorder="1" applyFont="1" applyNumberFormat="1">
      <alignment horizontal="center"/>
    </xf>
    <xf borderId="12" fillId="3" fontId="2" numFmtId="0" xfId="0" applyAlignment="1" applyBorder="1" applyFill="1" applyFont="1">
      <alignment shrinkToFit="0" wrapText="1"/>
    </xf>
    <xf borderId="0" fillId="0" fontId="2" numFmtId="49" xfId="0" applyAlignment="1" applyFont="1" applyNumberFormat="1">
      <alignment shrinkToFit="0" wrapText="1"/>
    </xf>
    <xf borderId="0" fillId="0" fontId="10" numFmtId="165" xfId="0" applyAlignment="1" applyFont="1" applyNumberFormat="1">
      <alignment horizontal="center"/>
    </xf>
    <xf borderId="14" fillId="3" fontId="2" numFmtId="0" xfId="0" applyAlignment="1" applyBorder="1" applyFill="1" applyFont="1">
      <alignment shrinkToFit="0" wrapText="1"/>
    </xf>
    <xf borderId="31" fillId="3" fontId="2" numFmtId="0" xfId="0" applyBorder="1" applyFill="1" applyFont="1"/>
    <xf borderId="32" fillId="0" fontId="2" numFmtId="171" xfId="0" applyBorder="1" applyFont="1" applyNumberFormat="1"/>
    <xf borderId="33" fillId="0" fontId="10" numFmtId="165" xfId="0" applyAlignment="1" applyBorder="1" applyFont="1" applyNumberFormat="1">
      <alignment horizontal="center"/>
    </xf>
    <xf borderId="33" fillId="0" fontId="2" numFmtId="171" xfId="0" applyBorder="1" applyFont="1" applyNumberFormat="1"/>
    <xf borderId="2" fillId="4" fontId="2" numFmtId="1" xfId="0" applyBorder="1" applyFill="1" applyFont="1" applyNumberFormat="1"/>
    <xf borderId="0" fillId="0" fontId="2" numFmtId="165" xfId="0" applyFont="1" applyNumberFormat="1"/>
    <xf borderId="39" fillId="0" fontId="1" numFmtId="0" xfId="0" applyBorder="1" applyFont="1"/>
    <xf borderId="39" fillId="0" fontId="1" numFmtId="165" xfId="0" applyAlignment="1" applyBorder="1" applyFont="1" applyNumberFormat="1">
      <alignment horizontal="center"/>
    </xf>
    <xf borderId="5" fillId="4" fontId="2" numFmtId="1" xfId="0" applyBorder="1" applyFill="1" applyFont="1" applyNumberFormat="1"/>
    <xf borderId="40" fillId="0" fontId="1" numFmtId="165" xfId="0" applyAlignment="1" applyBorder="1" applyFont="1" applyNumberFormat="1">
      <alignment horizontal="center"/>
    </xf>
    <xf borderId="41" fillId="0" fontId="1" numFmtId="165" xfId="0" applyAlignment="1" applyBorder="1" applyFont="1" applyNumberFormat="1">
      <alignment horizontal="center"/>
    </xf>
    <xf borderId="40" fillId="0" fontId="19" numFmtId="165" xfId="0" applyAlignment="1" applyBorder="1" applyFont="1" applyNumberFormat="1">
      <alignment horizontal="center"/>
    </xf>
    <xf borderId="10" fillId="4" fontId="2" numFmtId="1" xfId="0" applyBorder="1" applyFill="1" applyFont="1" applyNumberFormat="1"/>
    <xf borderId="41" fillId="0" fontId="19" numFmtId="165" xfId="0" applyAlignment="1" applyBorder="1" applyFont="1" applyNumberFormat="1">
      <alignment horizontal="center"/>
    </xf>
    <xf borderId="39" fillId="0" fontId="2" numFmtId="0" xfId="0" applyAlignment="1" applyBorder="1" applyFont="1">
      <alignment horizontal="left"/>
    </xf>
    <xf borderId="38" fillId="4" fontId="2" numFmtId="1" xfId="0" applyBorder="1" applyFill="1" applyFont="1" applyNumberFormat="1"/>
    <xf borderId="1" fillId="8" fontId="1" numFmtId="0" xfId="0" applyBorder="1" applyFill="1" applyFont="1"/>
    <xf borderId="31" fillId="6" fontId="2" numFmtId="0" xfId="0" applyBorder="1" applyFill="1" applyFont="1"/>
    <xf borderId="27" fillId="6" fontId="2" numFmtId="0" xfId="0" applyBorder="1" applyFill="1" applyFont="1"/>
    <xf borderId="31" fillId="6" fontId="2" numFmtId="9" xfId="0" applyBorder="1" applyFill="1" applyFont="1" applyNumberFormat="1"/>
    <xf borderId="1" fillId="6" fontId="2" numFmtId="9" xfId="0" applyBorder="1" applyFill="1" applyFont="1" applyNumberFormat="1"/>
    <xf borderId="3" fillId="8" fontId="2" numFmtId="164" xfId="0" applyAlignment="1" applyBorder="1" applyFill="1" applyFont="1" applyNumberFormat="1">
      <alignment horizontal="center"/>
    </xf>
    <xf borderId="27" fillId="6" fontId="2" numFmtId="9" xfId="0" applyBorder="1" applyFill="1" applyFont="1" applyNumberFormat="1"/>
    <xf borderId="10" fillId="6" fontId="2" numFmtId="9" xfId="0" applyBorder="1" applyFill="1" applyFont="1" applyNumberFormat="1"/>
    <xf borderId="10" fillId="3" fontId="2" numFmtId="0" xfId="0" applyBorder="1" applyFill="1" applyFont="1"/>
    <xf borderId="12" fillId="6" fontId="2" numFmtId="9" xfId="0" applyBorder="1" applyFill="1" applyFont="1" applyNumberFormat="1"/>
    <xf borderId="39" fillId="0" fontId="2" numFmtId="171" xfId="0" applyBorder="1" applyFont="1" applyNumberFormat="1"/>
    <xf borderId="40" fillId="0" fontId="2" numFmtId="165" xfId="0" applyBorder="1" applyFont="1" applyNumberFormat="1"/>
    <xf borderId="14" fillId="6" fontId="2" numFmtId="9" xfId="0" applyBorder="1" applyFill="1" applyFont="1" applyNumberFormat="1"/>
    <xf borderId="41" fillId="0" fontId="2" numFmtId="171" xfId="0" applyBorder="1" applyFont="1" applyNumberFormat="1"/>
    <xf borderId="0" fillId="0" fontId="2" numFmtId="171" xfId="0" applyFont="1" applyNumberFormat="1"/>
    <xf borderId="0" fillId="0" fontId="2" numFmtId="0" xfId="0" applyAlignment="1" applyFont="1">
      <alignment horizontal="left"/>
    </xf>
    <xf borderId="0" fillId="0" fontId="10" numFmtId="0" xfId="0" applyFont="1"/>
    <xf borderId="2" fillId="3" fontId="1" numFmtId="0" xfId="0" applyBorder="1" applyFill="1" applyFont="1"/>
    <xf borderId="0" fillId="0" fontId="19" numFmtId="0" xfId="0" applyFont="1"/>
    <xf borderId="3" fillId="3" fontId="2" numFmtId="171" xfId="0" applyBorder="1" applyFill="1" applyFont="1" applyNumberFormat="1"/>
    <xf borderId="5" fillId="4" fontId="5" numFmtId="0" xfId="0" applyAlignment="1" applyBorder="1" applyFill="1" applyFont="1">
      <alignment vertical="top"/>
    </xf>
    <xf borderId="3" fillId="3" fontId="2" numFmtId="165" xfId="0" applyBorder="1" applyFill="1" applyFont="1" applyNumberFormat="1"/>
    <xf borderId="4" fillId="3" fontId="2" numFmtId="165" xfId="0" applyBorder="1" applyFill="1" applyFont="1" applyNumberFormat="1"/>
    <xf borderId="5" fillId="3" fontId="20" numFmtId="0" xfId="0" applyAlignment="1" applyBorder="1" applyFill="1" applyFont="1">
      <alignment shrinkToFit="0" vertical="center" wrapText="1"/>
    </xf>
    <xf borderId="1" fillId="9" fontId="8" numFmtId="0" xfId="0" applyAlignment="1" applyBorder="1" applyFill="1" applyFont="1">
      <alignment horizontal="center" vertical="top"/>
    </xf>
    <xf borderId="29" fillId="10" fontId="21" numFmtId="0" xfId="0" applyAlignment="1" applyBorder="1" applyFill="1" applyFont="1">
      <alignment shrinkToFit="0" vertical="center" wrapText="1"/>
    </xf>
    <xf borderId="0" fillId="0" fontId="2" numFmtId="0" xfId="0" applyAlignment="1" applyFont="1">
      <alignment vertical="center"/>
    </xf>
    <xf borderId="30" fillId="10" fontId="21" numFmtId="0" xfId="0" applyAlignment="1" applyBorder="1" applyFill="1" applyFont="1">
      <alignment shrinkToFit="0" vertical="center" wrapText="1"/>
    </xf>
    <xf borderId="1" fillId="4" fontId="2" numFmtId="1" xfId="0" applyBorder="1" applyFill="1" applyFont="1" applyNumberFormat="1"/>
    <xf borderId="24" fillId="3" fontId="20" numFmtId="0" xfId="0" applyAlignment="1" applyBorder="1" applyFill="1" applyFont="1">
      <alignment shrinkToFit="0" vertical="center" wrapText="1"/>
    </xf>
    <xf borderId="1" fillId="10" fontId="21" numFmtId="0" xfId="0" applyAlignment="1" applyBorder="1" applyFill="1" applyFont="1">
      <alignment shrinkToFit="0" vertical="center" wrapText="1"/>
    </xf>
    <xf borderId="1" fillId="10" fontId="21" numFmtId="9" xfId="0" applyAlignment="1" applyBorder="1" applyFill="1" applyFont="1" applyNumberFormat="1">
      <alignment shrinkToFit="0" vertical="center" wrapText="1"/>
    </xf>
    <xf borderId="0" fillId="0" fontId="22" numFmtId="0" xfId="0" applyFont="1"/>
    <xf borderId="27" fillId="10" fontId="21" numFmtId="10" xfId="0" applyAlignment="1" applyBorder="1" applyFill="1" applyFont="1" applyNumberFormat="1">
      <alignment shrinkToFit="0" vertical="center" wrapText="1"/>
    </xf>
    <xf borderId="0" fillId="0" fontId="2" numFmtId="9" xfId="0" applyFont="1" applyNumberFormat="1"/>
    <xf borderId="1" fillId="4" fontId="2" numFmtId="0" xfId="0" applyBorder="1" applyFill="1" applyFont="1"/>
    <xf borderId="38" fillId="3" fontId="20" numFmtId="0" xfId="0" applyAlignment="1" applyBorder="1" applyFill="1" applyFont="1">
      <alignment shrinkToFit="0" vertical="center" wrapText="1"/>
    </xf>
    <xf borderId="12" fillId="10" fontId="21" numFmtId="0" xfId="0" applyAlignment="1" applyBorder="1" applyFill="1" applyFont="1">
      <alignment shrinkToFit="0" vertical="center" wrapText="1"/>
    </xf>
    <xf borderId="12" fillId="10" fontId="21" numFmtId="9" xfId="0" applyAlignment="1" applyBorder="1" applyFill="1" applyFont="1" applyNumberFormat="1">
      <alignment shrinkToFit="0" vertical="center" wrapText="1"/>
    </xf>
    <xf borderId="14" fillId="10" fontId="21" numFmtId="10" xfId="0" applyAlignment="1" applyBorder="1" applyFill="1" applyFont="1" applyNumberFormat="1">
      <alignment shrinkToFit="0" vertical="center" wrapText="1"/>
    </xf>
    <xf borderId="3" fillId="3" fontId="1" numFmtId="168" xfId="0" applyBorder="1" applyFill="1" applyFont="1" applyNumberFormat="1"/>
    <xf borderId="3" fillId="3" fontId="1" numFmtId="0" xfId="0" applyBorder="1" applyFill="1" applyFont="1"/>
    <xf borderId="4" fillId="3" fontId="1" numFmtId="0" xfId="0" applyBorder="1" applyFill="1" applyFont="1"/>
    <xf borderId="31" fillId="3" fontId="18" numFmtId="0" xfId="0" applyAlignment="1" applyBorder="1" applyFill="1" applyFont="1">
      <alignment horizontal="right" shrinkToFit="0" vertical="center" wrapText="1"/>
    </xf>
    <xf borderId="1" fillId="3" fontId="1" numFmtId="168" xfId="0" applyAlignment="1" applyBorder="1" applyFill="1" applyFont="1" applyNumberFormat="1">
      <alignment shrinkToFit="0" vertical="center" wrapText="1"/>
    </xf>
    <xf borderId="1" fillId="3" fontId="1" numFmtId="168" xfId="0" applyAlignment="1" applyBorder="1" applyFill="1" applyFont="1" applyNumberFormat="1">
      <alignment shrinkToFit="0" wrapText="1"/>
    </xf>
    <xf borderId="27" fillId="3" fontId="1" numFmtId="168" xfId="0" applyAlignment="1" applyBorder="1" applyFill="1" applyFont="1" applyNumberFormat="1">
      <alignment shrinkToFit="0" wrapText="1"/>
    </xf>
    <xf borderId="31" fillId="3" fontId="17" numFmtId="0" xfId="0" applyAlignment="1" applyBorder="1" applyFill="1" applyFont="1">
      <alignment shrinkToFit="0" vertical="center" wrapText="1"/>
    </xf>
    <xf borderId="1" fillId="3" fontId="2" numFmtId="168" xfId="0" applyBorder="1" applyFill="1" applyFont="1" applyNumberFormat="1"/>
    <xf borderId="27" fillId="3" fontId="2" numFmtId="0" xfId="0" applyBorder="1" applyFill="1" applyFont="1"/>
    <xf borderId="31" fillId="3" fontId="17" numFmtId="0" xfId="0" applyAlignment="1" applyBorder="1" applyFill="1" applyFont="1">
      <alignment horizontal="right" shrinkToFit="0" vertical="center" wrapText="1"/>
    </xf>
    <xf borderId="2" fillId="8" fontId="2" numFmtId="171" xfId="0" applyBorder="1" applyFill="1" applyFont="1" applyNumberFormat="1"/>
    <xf borderId="3" fillId="8" fontId="2" numFmtId="171" xfId="0" applyBorder="1" applyFill="1" applyFont="1" applyNumberFormat="1"/>
    <xf borderId="2" fillId="6" fontId="2" numFmtId="171" xfId="0" applyBorder="1" applyFill="1" applyFont="1" applyNumberFormat="1"/>
    <xf borderId="3" fillId="6" fontId="2" numFmtId="171" xfId="0" applyBorder="1" applyFill="1" applyFont="1" applyNumberFormat="1"/>
    <xf borderId="24" fillId="4" fontId="5" numFmtId="0" xfId="0" applyAlignment="1" applyBorder="1" applyFill="1" applyFont="1">
      <alignment vertical="top"/>
    </xf>
    <xf borderId="4" fillId="6" fontId="2" numFmtId="171" xfId="0" applyBorder="1" applyFill="1" applyFont="1" applyNumberFormat="1"/>
    <xf borderId="31" fillId="8" fontId="2" numFmtId="171" xfId="0" applyBorder="1" applyFill="1" applyFont="1" applyNumberFormat="1"/>
    <xf borderId="1" fillId="8" fontId="2" numFmtId="171" xfId="0" applyBorder="1" applyFill="1" applyFont="1" applyNumberFormat="1"/>
    <xf borderId="31" fillId="6" fontId="2" numFmtId="171" xfId="0" applyBorder="1" applyFill="1" applyFont="1" applyNumberFormat="1"/>
    <xf borderId="1" fillId="6" fontId="2" numFmtId="171" xfId="0" applyBorder="1" applyFill="1" applyFont="1" applyNumberFormat="1"/>
    <xf borderId="27" fillId="6" fontId="2" numFmtId="171" xfId="0" applyBorder="1" applyFill="1" applyFont="1" applyNumberFormat="1"/>
    <xf borderId="10" fillId="8" fontId="2" numFmtId="171" xfId="0" applyBorder="1" applyFill="1" applyFont="1" applyNumberFormat="1"/>
    <xf borderId="12" fillId="8" fontId="2" numFmtId="171" xfId="0" applyBorder="1" applyFill="1" applyFont="1" applyNumberFormat="1"/>
    <xf borderId="10" fillId="6" fontId="2" numFmtId="171" xfId="0" applyBorder="1" applyFill="1" applyFont="1" applyNumberFormat="1"/>
    <xf borderId="12" fillId="6" fontId="2" numFmtId="171" xfId="0" applyBorder="1" applyFill="1" applyFont="1" applyNumberFormat="1"/>
    <xf borderId="2" fillId="2" fontId="11" numFmtId="3" xfId="0" applyAlignment="1" applyBorder="1" applyFill="1" applyFont="1" applyNumberFormat="1">
      <alignment horizontal="center"/>
    </xf>
    <xf borderId="3" fillId="2" fontId="1" numFmtId="0" xfId="0" applyAlignment="1" applyBorder="1" applyFill="1" applyFont="1">
      <alignment horizontal="center"/>
    </xf>
    <xf borderId="4" fillId="2" fontId="1" numFmtId="0" xfId="0" applyAlignment="1" applyBorder="1" applyFill="1" applyFont="1">
      <alignment horizontal="center"/>
    </xf>
    <xf borderId="14" fillId="6" fontId="1" numFmtId="171" xfId="0" applyBorder="1" applyFill="1" applyFont="1" applyNumberFormat="1"/>
    <xf borderId="1" fillId="5" fontId="2" numFmtId="0" xfId="0" applyAlignment="1" applyBorder="1" applyFill="1" applyFont="1">
      <alignment shrinkToFit="0" vertical="center" wrapText="1"/>
    </xf>
    <xf borderId="31" fillId="6" fontId="2" numFmtId="10" xfId="0" applyAlignment="1" applyBorder="1" applyFill="1" applyFont="1" applyNumberFormat="1">
      <alignment horizontal="center"/>
    </xf>
    <xf borderId="1" fillId="6" fontId="2" numFmtId="10" xfId="0" applyAlignment="1" applyBorder="1" applyFill="1" applyFont="1" applyNumberFormat="1">
      <alignment horizontal="center"/>
    </xf>
    <xf borderId="27" fillId="6" fontId="2" numFmtId="10" xfId="0" applyAlignment="1" applyBorder="1" applyFill="1" applyFont="1" applyNumberFormat="1">
      <alignment horizontal="center"/>
    </xf>
    <xf borderId="0" fillId="0" fontId="2" numFmtId="10" xfId="0" applyFont="1" applyNumberFormat="1"/>
    <xf borderId="10" fillId="6" fontId="2" numFmtId="10" xfId="0" applyAlignment="1" applyBorder="1" applyFill="1" applyFont="1" applyNumberFormat="1">
      <alignment horizontal="center"/>
    </xf>
    <xf borderId="12" fillId="6" fontId="2" numFmtId="10" xfId="0" applyAlignment="1" applyBorder="1" applyFill="1" applyFont="1" applyNumberFormat="1">
      <alignment horizontal="center"/>
    </xf>
    <xf borderId="14" fillId="6" fontId="2" numFmtId="10" xfId="0" applyAlignment="1" applyBorder="1" applyFill="1" applyFont="1" applyNumberFormat="1">
      <alignment horizontal="center"/>
    </xf>
    <xf borderId="2" fillId="2" fontId="1" numFmtId="0" xfId="0" applyAlignment="1" applyBorder="1" applyFill="1" applyFont="1">
      <alignment shrinkToFit="0" vertical="center" wrapText="1"/>
    </xf>
    <xf borderId="43" fillId="2" fontId="1" numFmtId="0" xfId="0" applyAlignment="1" applyBorder="1" applyFill="1" applyFont="1">
      <alignment horizontal="center" shrinkToFit="0" wrapText="1"/>
    </xf>
    <xf borderId="38" fillId="4" fontId="5" numFmtId="0" xfId="0" applyAlignment="1" applyBorder="1" applyFill="1" applyFont="1">
      <alignment shrinkToFit="0" vertical="top" wrapText="1"/>
    </xf>
    <xf borderId="31" fillId="2" fontId="11" numFmtId="3" xfId="0" applyAlignment="1" applyBorder="1" applyFill="1" applyFont="1" applyNumberFormat="1">
      <alignment horizontal="center"/>
    </xf>
    <xf borderId="1" fillId="2" fontId="1" numFmtId="0" xfId="0" applyAlignment="1" applyBorder="1" applyFill="1" applyFont="1">
      <alignment horizontal="center"/>
    </xf>
    <xf borderId="27" fillId="2" fontId="1" numFmtId="0" xfId="0" applyAlignment="1" applyBorder="1" applyFill="1" applyFont="1">
      <alignment horizontal="center"/>
    </xf>
    <xf borderId="44" fillId="0" fontId="3" numFmtId="0" xfId="0" applyBorder="1" applyFont="1"/>
    <xf borderId="31" fillId="6" fontId="13" numFmtId="171" xfId="0" applyAlignment="1" applyBorder="1" applyFill="1" applyFont="1" applyNumberFormat="1">
      <alignment horizontal="center"/>
    </xf>
    <xf borderId="1" fillId="6" fontId="13" numFmtId="171" xfId="0" applyAlignment="1" applyBorder="1" applyFill="1" applyFont="1" applyNumberFormat="1">
      <alignment horizontal="center"/>
    </xf>
    <xf borderId="27" fillId="6" fontId="13" numFmtId="171" xfId="0" applyAlignment="1" applyBorder="1" applyFill="1" applyFont="1" applyNumberFormat="1">
      <alignment horizontal="center"/>
    </xf>
    <xf borderId="31" fillId="6" fontId="13" numFmtId="1" xfId="0" applyAlignment="1" applyBorder="1" applyFill="1" applyFont="1" applyNumberFormat="1">
      <alignment horizontal="center"/>
    </xf>
    <xf borderId="1" fillId="6" fontId="13" numFmtId="1" xfId="0" applyAlignment="1" applyBorder="1" applyFill="1" applyFont="1" applyNumberFormat="1">
      <alignment horizontal="center"/>
    </xf>
    <xf borderId="10" fillId="3" fontId="17" numFmtId="0" xfId="0" applyAlignment="1" applyBorder="1" applyFill="1" applyFont="1">
      <alignment horizontal="right" shrinkToFit="0" vertical="center" wrapText="1"/>
    </xf>
    <xf borderId="10" fillId="8" fontId="2" numFmtId="168" xfId="0" applyBorder="1" applyFill="1" applyFont="1" applyNumberFormat="1"/>
    <xf borderId="27" fillId="6" fontId="13" numFmtId="1" xfId="0" applyAlignment="1" applyBorder="1" applyFill="1" applyFont="1" applyNumberFormat="1">
      <alignment horizontal="center"/>
    </xf>
    <xf borderId="12" fillId="8" fontId="2" numFmtId="168" xfId="0" applyBorder="1" applyFill="1" applyFont="1" applyNumberFormat="1"/>
    <xf borderId="12" fillId="8" fontId="2" numFmtId="0" xfId="0" applyBorder="1" applyFill="1" applyFont="1"/>
    <xf borderId="24" fillId="6" fontId="2" numFmtId="9" xfId="0" applyAlignment="1" applyBorder="1" applyFill="1" applyFont="1" applyNumberFormat="1">
      <alignment horizontal="center"/>
    </xf>
    <xf borderId="10" fillId="6" fontId="2" numFmtId="0" xfId="0" applyBorder="1" applyFill="1" applyFont="1"/>
    <xf borderId="12" fillId="6" fontId="2" numFmtId="0" xfId="0" applyBorder="1" applyFill="1" applyFont="1"/>
    <xf borderId="32" fillId="0" fontId="2" numFmtId="0" xfId="0" applyAlignment="1" applyBorder="1" applyFont="1">
      <alignment shrinkToFit="0" vertical="center" wrapText="1"/>
    </xf>
    <xf borderId="45" fillId="3" fontId="1" numFmtId="0" xfId="0" applyAlignment="1" applyBorder="1" applyFill="1" applyFont="1">
      <alignment shrinkToFit="0" vertical="center" wrapText="1"/>
    </xf>
    <xf borderId="2" fillId="3" fontId="2" numFmtId="0" xfId="0" applyAlignment="1" applyBorder="1" applyFill="1" applyFont="1">
      <alignment horizontal="center"/>
    </xf>
    <xf borderId="3" fillId="3" fontId="2" numFmtId="0" xfId="0" applyAlignment="1" applyBorder="1" applyFill="1" applyFont="1">
      <alignment horizontal="center"/>
    </xf>
    <xf borderId="4" fillId="3" fontId="2" numFmtId="0" xfId="0" applyAlignment="1" applyBorder="1" applyFill="1" applyFont="1">
      <alignment horizontal="center"/>
    </xf>
    <xf borderId="31" fillId="3" fontId="2" numFmtId="0" xfId="0" applyAlignment="1" applyBorder="1" applyFill="1" applyFont="1">
      <alignment shrinkToFit="0" vertical="center" wrapText="1"/>
    </xf>
    <xf borderId="5" fillId="3" fontId="2" numFmtId="0" xfId="0" applyAlignment="1" applyBorder="1" applyFill="1" applyFont="1">
      <alignment shrinkToFit="0" vertical="center" wrapText="1"/>
    </xf>
    <xf borderId="1" fillId="6" fontId="1" numFmtId="0" xfId="0" applyAlignment="1" applyBorder="1" applyFill="1" applyFont="1">
      <alignment shrinkToFit="0" vertical="center" wrapText="1"/>
    </xf>
    <xf borderId="10" fillId="6" fontId="1" numFmtId="0" xfId="0" applyBorder="1" applyFill="1" applyFont="1"/>
    <xf borderId="12" fillId="6" fontId="1" numFmtId="0" xfId="0" applyBorder="1" applyFill="1" applyFont="1"/>
    <xf borderId="33" fillId="0" fontId="10" numFmtId="0" xfId="0" applyBorder="1" applyFont="1"/>
    <xf borderId="14" fillId="6" fontId="1" numFmtId="0" xfId="0" applyBorder="1" applyFill="1" applyFont="1"/>
    <xf borderId="43" fillId="0" fontId="2" numFmtId="0" xfId="0" applyBorder="1" applyFont="1"/>
    <xf borderId="38" fillId="3" fontId="2" numFmtId="0" xfId="0" applyAlignment="1" applyBorder="1" applyFill="1" applyFont="1">
      <alignment shrinkToFit="0" vertical="center" wrapText="1"/>
    </xf>
    <xf borderId="10" fillId="6" fontId="1" numFmtId="1" xfId="0" applyAlignment="1" applyBorder="1" applyFill="1" applyFont="1" applyNumberFormat="1">
      <alignment horizontal="center" vertical="center"/>
    </xf>
    <xf borderId="12" fillId="6" fontId="1" numFmtId="1" xfId="0" applyAlignment="1" applyBorder="1" applyFill="1" applyFont="1" applyNumberFormat="1">
      <alignment horizontal="center" vertical="center"/>
    </xf>
    <xf borderId="14" fillId="6" fontId="1" numFmtId="1" xfId="0" applyAlignment="1" applyBorder="1" applyFill="1" applyFont="1" applyNumberFormat="1">
      <alignment horizontal="center" vertical="center"/>
    </xf>
    <xf borderId="35" fillId="0" fontId="10" numFmtId="1" xfId="0" applyAlignment="1" applyBorder="1" applyFont="1" applyNumberFormat="1">
      <alignment horizontal="center"/>
    </xf>
    <xf borderId="38" fillId="6" fontId="2" numFmtId="0" xfId="0" applyAlignment="1" applyBorder="1" applyFill="1" applyFont="1">
      <alignment horizontal="center"/>
    </xf>
    <xf borderId="0" fillId="0" fontId="15" numFmtId="164" xfId="0" applyAlignment="1" applyFont="1" applyNumberFormat="1">
      <alignment vertical="center"/>
    </xf>
    <xf borderId="37" fillId="0" fontId="2" numFmtId="0" xfId="0" applyBorder="1" applyFont="1"/>
    <xf borderId="34" fillId="0" fontId="2" numFmtId="0" xfId="0" applyAlignment="1" applyBorder="1" applyFont="1">
      <alignment shrinkToFit="0" wrapText="1"/>
    </xf>
    <xf borderId="1" fillId="11" fontId="1" numFmtId="0" xfId="0" applyAlignment="1" applyBorder="1" applyFill="1" applyFont="1">
      <alignment shrinkToFit="0" vertical="center" wrapText="1"/>
    </xf>
    <xf borderId="1" fillId="5" fontId="2" numFmtId="3" xfId="0" applyAlignment="1" applyBorder="1" applyFill="1" applyFont="1" applyNumberFormat="1">
      <alignment horizontal="right"/>
    </xf>
    <xf borderId="0" fillId="0" fontId="2" numFmtId="3" xfId="0" applyAlignment="1" applyFont="1" applyNumberFormat="1">
      <alignment horizontal="right"/>
    </xf>
    <xf borderId="24" fillId="6" fontId="2" numFmtId="0" xfId="0" applyBorder="1" applyFill="1" applyFont="1"/>
    <xf borderId="31" fillId="6" fontId="2" numFmtId="167" xfId="0" applyAlignment="1" applyBorder="1" applyFill="1" applyFont="1" applyNumberFormat="1">
      <alignment vertical="center"/>
    </xf>
    <xf borderId="1" fillId="6" fontId="2" numFmtId="167" xfId="0" applyAlignment="1" applyBorder="1" applyFill="1" applyFont="1" applyNumberFormat="1">
      <alignment vertical="center"/>
    </xf>
    <xf borderId="2" fillId="2" fontId="1" numFmtId="3" xfId="0" applyAlignment="1" applyBorder="1" applyFill="1" applyFont="1" applyNumberFormat="1">
      <alignment horizontal="center"/>
    </xf>
    <xf borderId="27" fillId="6" fontId="2" numFmtId="167" xfId="0" applyAlignment="1" applyBorder="1" applyFill="1" applyFont="1" applyNumberFormat="1">
      <alignment vertical="center"/>
    </xf>
    <xf borderId="32" fillId="0" fontId="10" numFmtId="165" xfId="0" applyAlignment="1" applyBorder="1" applyFont="1" applyNumberFormat="1">
      <alignment horizontal="center"/>
    </xf>
    <xf borderId="34" fillId="0" fontId="2" numFmtId="0" xfId="0" applyBorder="1" applyFont="1"/>
    <xf borderId="1" fillId="11" fontId="2" numFmtId="0" xfId="0" applyAlignment="1" applyBorder="1" applyFill="1" applyFont="1">
      <alignment vertical="center"/>
    </xf>
    <xf borderId="31" fillId="6" fontId="2" numFmtId="3" xfId="0" applyAlignment="1" applyBorder="1" applyFill="1" applyFont="1" applyNumberFormat="1">
      <alignment horizontal="center"/>
    </xf>
    <xf borderId="1" fillId="6" fontId="2" numFmtId="3" xfId="0" applyAlignment="1" applyBorder="1" applyFill="1" applyFont="1" applyNumberFormat="1">
      <alignment horizontal="center"/>
    </xf>
    <xf borderId="31" fillId="6" fontId="2" numFmtId="1" xfId="0" applyAlignment="1" applyBorder="1" applyFill="1" applyFont="1" applyNumberFormat="1">
      <alignment horizontal="center" vertical="center"/>
    </xf>
    <xf borderId="1" fillId="6" fontId="2" numFmtId="1" xfId="0" applyAlignment="1" applyBorder="1" applyFill="1" applyFont="1" applyNumberFormat="1">
      <alignment horizontal="center" vertical="center"/>
    </xf>
    <xf borderId="27" fillId="6" fontId="2" numFmtId="3" xfId="0" applyAlignment="1" applyBorder="1" applyFill="1" applyFont="1" applyNumberFormat="1">
      <alignment horizontal="center"/>
    </xf>
    <xf borderId="46" fillId="0" fontId="1" numFmtId="0" xfId="0" applyBorder="1" applyFont="1"/>
    <xf borderId="27" fillId="6" fontId="2" numFmtId="1" xfId="0" applyAlignment="1" applyBorder="1" applyFill="1" applyFont="1" applyNumberFormat="1">
      <alignment horizontal="center" vertical="center"/>
    </xf>
    <xf borderId="39" fillId="0" fontId="19" numFmtId="165" xfId="0" applyAlignment="1" applyBorder="1" applyFont="1" applyNumberFormat="1">
      <alignment horizontal="center"/>
    </xf>
    <xf borderId="10" fillId="6" fontId="13" numFmtId="171" xfId="0" applyAlignment="1" applyBorder="1" applyFill="1" applyFont="1" applyNumberFormat="1">
      <alignment horizontal="center"/>
    </xf>
    <xf borderId="24" fillId="6" fontId="2" numFmtId="165" xfId="0" applyAlignment="1" applyBorder="1" applyFill="1" applyFont="1" applyNumberFormat="1">
      <alignment horizontal="center" vertical="center"/>
    </xf>
    <xf borderId="12" fillId="6" fontId="13" numFmtId="171" xfId="0" applyAlignment="1" applyBorder="1" applyFill="1" applyFont="1" applyNumberFormat="1">
      <alignment horizontal="center"/>
    </xf>
    <xf borderId="10" fillId="6" fontId="13" numFmtId="1" xfId="0" applyAlignment="1" applyBorder="1" applyFill="1" applyFont="1" applyNumberFormat="1">
      <alignment horizontal="center"/>
    </xf>
    <xf borderId="1" fillId="6" fontId="2" numFmtId="39" xfId="0" applyAlignment="1" applyBorder="1" applyFill="1" applyFont="1" applyNumberFormat="1">
      <alignment horizontal="right" vertical="center"/>
    </xf>
    <xf borderId="12" fillId="6" fontId="13" numFmtId="1" xfId="0" applyAlignment="1" applyBorder="1" applyFill="1" applyFont="1" applyNumberFormat="1">
      <alignment horizontal="center"/>
    </xf>
    <xf borderId="14" fillId="6" fontId="13" numFmtId="1" xfId="0" applyAlignment="1" applyBorder="1" applyFill="1" applyFont="1" applyNumberFormat="1">
      <alignment horizontal="center"/>
    </xf>
    <xf borderId="14" fillId="6" fontId="2" numFmtId="9" xfId="0" applyAlignment="1" applyBorder="1" applyFill="1" applyFont="1" applyNumberFormat="1">
      <alignment horizontal="center"/>
    </xf>
    <xf borderId="10" fillId="6" fontId="2" numFmtId="1" xfId="0" applyAlignment="1" applyBorder="1" applyFill="1" applyFont="1" applyNumberFormat="1">
      <alignment horizontal="center"/>
    </xf>
    <xf borderId="31" fillId="6" fontId="2" numFmtId="39" xfId="0" applyAlignment="1" applyBorder="1" applyFill="1" applyFont="1" applyNumberFormat="1">
      <alignment horizontal="right" vertical="center"/>
    </xf>
    <xf borderId="12" fillId="6" fontId="2" numFmtId="1" xfId="0" applyAlignment="1" applyBorder="1" applyFill="1" applyFont="1" applyNumberFormat="1">
      <alignment horizontal="center"/>
    </xf>
    <xf borderId="10" fillId="6" fontId="2" numFmtId="3" xfId="0" applyAlignment="1" applyBorder="1" applyFill="1" applyFont="1" applyNumberFormat="1">
      <alignment horizontal="center"/>
    </xf>
    <xf borderId="0" fillId="0" fontId="13" numFmtId="171" xfId="0" applyFont="1" applyNumberFormat="1"/>
    <xf borderId="0" fillId="0" fontId="13" numFmtId="171" xfId="0" applyAlignment="1" applyFont="1" applyNumberFormat="1">
      <alignment horizontal="right"/>
    </xf>
    <xf borderId="12" fillId="6" fontId="2" numFmtId="3" xfId="0" applyAlignment="1" applyBorder="1" applyFill="1" applyFont="1" applyNumberFormat="1">
      <alignment horizontal="center"/>
    </xf>
    <xf borderId="14" fillId="6" fontId="2" numFmtId="3" xfId="0" applyAlignment="1" applyBorder="1" applyFill="1" applyFont="1" applyNumberFormat="1">
      <alignment horizontal="center"/>
    </xf>
    <xf borderId="1" fillId="12" fontId="13" numFmtId="3" xfId="0" applyAlignment="1" applyBorder="1" applyFill="1" applyFont="1" applyNumberFormat="1">
      <alignment horizontal="right"/>
    </xf>
    <xf borderId="31" fillId="6" fontId="2" numFmtId="9" xfId="0" applyAlignment="1" applyBorder="1" applyFill="1" applyFont="1" applyNumberFormat="1">
      <alignment horizontal="center" vertical="center"/>
    </xf>
    <xf borderId="2" fillId="5" fontId="2" numFmtId="0" xfId="0" applyAlignment="1" applyBorder="1" applyFill="1" applyFont="1">
      <alignment shrinkToFit="0" vertical="center" wrapText="1"/>
    </xf>
    <xf borderId="35" fillId="0" fontId="2" numFmtId="9" xfId="0" applyBorder="1" applyFont="1" applyNumberFormat="1"/>
    <xf borderId="31" fillId="5" fontId="2" numFmtId="0" xfId="0" applyAlignment="1" applyBorder="1" applyFill="1" applyFont="1">
      <alignment shrinkToFit="0" vertical="center" wrapText="1"/>
    </xf>
    <xf borderId="32" fillId="0" fontId="2" numFmtId="3" xfId="0" applyBorder="1" applyFont="1" applyNumberFormat="1"/>
    <xf borderId="32" fillId="0" fontId="2" numFmtId="9" xfId="0" applyBorder="1" applyFont="1" applyNumberFormat="1"/>
    <xf borderId="10" fillId="5" fontId="2" numFmtId="0" xfId="0" applyAlignment="1" applyBorder="1" applyFill="1" applyFont="1">
      <alignment shrinkToFit="0" vertical="center" wrapText="1"/>
    </xf>
    <xf borderId="39" fillId="0" fontId="1" numFmtId="9" xfId="0" applyBorder="1" applyFont="1" applyNumberFormat="1"/>
    <xf borderId="41" fillId="0" fontId="1" numFmtId="0" xfId="0" applyBorder="1" applyFont="1"/>
    <xf borderId="4" fillId="4" fontId="2" numFmtId="1" xfId="0" applyAlignment="1" applyBorder="1" applyFill="1" applyFont="1" applyNumberFormat="1">
      <alignment horizontal="center"/>
    </xf>
    <xf borderId="1" fillId="13" fontId="2" numFmtId="9" xfId="0" applyBorder="1" applyFill="1" applyFont="1" applyNumberFormat="1"/>
    <xf borderId="2" fillId="2" fontId="2" numFmtId="0" xfId="0" applyAlignment="1" applyBorder="1" applyFill="1" applyFont="1">
      <alignment shrinkToFit="0" vertical="center" wrapText="1"/>
    </xf>
    <xf borderId="45" fillId="2" fontId="2" numFmtId="0" xfId="0" applyAlignment="1" applyBorder="1" applyFill="1" applyFont="1">
      <alignment horizontal="center" shrinkToFit="0" vertical="center" wrapText="1"/>
    </xf>
    <xf borderId="0" fillId="0" fontId="2" numFmtId="0" xfId="0" applyAlignment="1" applyFont="1">
      <alignment shrinkToFit="0" wrapText="1"/>
    </xf>
    <xf borderId="45" fillId="5" fontId="2" numFmtId="0" xfId="0" applyAlignment="1" applyBorder="1" applyFill="1" applyFont="1">
      <alignment horizontal="center" vertical="center"/>
    </xf>
    <xf borderId="45" fillId="8" fontId="2" numFmtId="9" xfId="0" applyAlignment="1" applyBorder="1" applyFill="1" applyFont="1" applyNumberFormat="1">
      <alignment horizontal="center" vertical="center"/>
    </xf>
    <xf borderId="39" fillId="0" fontId="2" numFmtId="0" xfId="0" applyAlignment="1" applyBorder="1" applyFont="1">
      <alignment shrinkToFit="0" vertical="center" wrapText="1"/>
    </xf>
    <xf borderId="1" fillId="2" fontId="2" numFmtId="0" xfId="0" applyAlignment="1" applyBorder="1" applyFill="1" applyFont="1">
      <alignment shrinkToFit="0" vertical="center" wrapText="1"/>
    </xf>
    <xf borderId="2" fillId="2" fontId="1" numFmtId="0" xfId="0" applyAlignment="1" applyBorder="1" applyFill="1" applyFont="1">
      <alignment horizontal="center"/>
    </xf>
    <xf borderId="32" fillId="0" fontId="2" numFmtId="9" xfId="0" applyAlignment="1" applyBorder="1" applyFont="1" applyNumberFormat="1">
      <alignment horizontal="center"/>
    </xf>
    <xf borderId="0" fillId="0" fontId="2" numFmtId="9" xfId="0" applyAlignment="1" applyFont="1" applyNumberFormat="1">
      <alignment horizontal="center"/>
    </xf>
    <xf borderId="33" fillId="0" fontId="2" numFmtId="9" xfId="0" applyAlignment="1" applyBorder="1" applyFont="1" applyNumberFormat="1">
      <alignment horizontal="center"/>
    </xf>
    <xf borderId="32" fillId="0" fontId="1" numFmtId="9" xfId="0" applyAlignment="1" applyBorder="1" applyFont="1" applyNumberFormat="1">
      <alignment horizontal="center"/>
    </xf>
    <xf borderId="0" fillId="0" fontId="1" numFmtId="9" xfId="0" applyAlignment="1" applyFont="1" applyNumberFormat="1">
      <alignment horizontal="center"/>
    </xf>
    <xf borderId="33" fillId="0" fontId="1" numFmtId="9" xfId="0" applyAlignment="1" applyBorder="1" applyFont="1" applyNumberFormat="1">
      <alignment horizontal="center"/>
    </xf>
    <xf borderId="32" fillId="0" fontId="1" numFmtId="3" xfId="0" applyAlignment="1" applyBorder="1" applyFont="1" applyNumberFormat="1">
      <alignment horizontal="center"/>
    </xf>
    <xf borderId="33" fillId="0" fontId="1" numFmtId="3" xfId="0" applyAlignment="1" applyBorder="1" applyFont="1" applyNumberFormat="1">
      <alignment horizontal="center"/>
    </xf>
    <xf borderId="1" fillId="11" fontId="1" numFmtId="0" xfId="0" applyAlignment="1" applyBorder="1" applyFill="1" applyFont="1">
      <alignment vertical="center"/>
    </xf>
    <xf borderId="32" fillId="0" fontId="2" numFmtId="2" xfId="0" applyAlignment="1" applyBorder="1" applyFont="1" applyNumberFormat="1">
      <alignment horizontal="center"/>
    </xf>
    <xf borderId="0" fillId="0" fontId="2" numFmtId="1" xfId="0" applyAlignment="1" applyFont="1" applyNumberFormat="1">
      <alignment horizontal="center"/>
    </xf>
    <xf borderId="33" fillId="0" fontId="2" numFmtId="1" xfId="0" applyAlignment="1" applyBorder="1" applyFont="1" applyNumberFormat="1">
      <alignment horizontal="center"/>
    </xf>
    <xf borderId="32" fillId="0" fontId="2" numFmtId="1" xfId="0" applyAlignment="1" applyBorder="1" applyFont="1" applyNumberFormat="1">
      <alignment horizontal="center"/>
    </xf>
    <xf borderId="33" fillId="0" fontId="23" numFmtId="165" xfId="0" applyAlignment="1" applyBorder="1" applyFont="1" applyNumberFormat="1">
      <alignment horizontal="center"/>
    </xf>
    <xf borderId="0" fillId="0" fontId="2" numFmtId="39" xfId="0" applyAlignment="1" applyFont="1" applyNumberFormat="1">
      <alignment horizontal="right" vertical="center"/>
    </xf>
    <xf borderId="27" fillId="4" fontId="2" numFmtId="1" xfId="0" applyAlignment="1" applyBorder="1" applyFill="1" applyFont="1" applyNumberFormat="1">
      <alignment horizontal="center"/>
    </xf>
    <xf borderId="32" fillId="0" fontId="2" numFmtId="167" xfId="0" applyAlignment="1" applyBorder="1" applyFont="1" applyNumberFormat="1">
      <alignment horizontal="right" vertical="center"/>
    </xf>
    <xf borderId="0" fillId="0" fontId="2" numFmtId="167" xfId="0" applyAlignment="1" applyFont="1" applyNumberFormat="1">
      <alignment horizontal="right" vertical="center"/>
    </xf>
    <xf borderId="33" fillId="0" fontId="2" numFmtId="167" xfId="0" applyAlignment="1" applyBorder="1" applyFont="1" applyNumberFormat="1">
      <alignment horizontal="right" vertical="center"/>
    </xf>
    <xf borderId="32" fillId="0" fontId="2" numFmtId="164" xfId="0" applyAlignment="1" applyBorder="1" applyFont="1" applyNumberFormat="1">
      <alignment horizontal="center" vertical="center"/>
    </xf>
    <xf borderId="0" fillId="0" fontId="2" numFmtId="164" xfId="0" applyAlignment="1" applyFont="1" applyNumberFormat="1">
      <alignment horizontal="center" vertical="center"/>
    </xf>
    <xf borderId="33" fillId="0" fontId="2" numFmtId="164" xfId="0" applyAlignment="1" applyBorder="1" applyFont="1" applyNumberFormat="1">
      <alignment horizontal="center" vertical="center"/>
    </xf>
    <xf borderId="32" fillId="0" fontId="2" numFmtId="3" xfId="0" applyAlignment="1" applyBorder="1" applyFont="1" applyNumberFormat="1">
      <alignment horizontal="center" vertical="center"/>
    </xf>
    <xf borderId="39" fillId="0" fontId="2" numFmtId="1" xfId="0" applyAlignment="1" applyBorder="1" applyFont="1" applyNumberFormat="1">
      <alignment horizontal="center"/>
    </xf>
    <xf borderId="0" fillId="0" fontId="2" numFmtId="3" xfId="0" applyAlignment="1" applyFont="1" applyNumberFormat="1">
      <alignment horizontal="center" vertical="center"/>
    </xf>
    <xf borderId="33" fillId="0" fontId="2" numFmtId="3" xfId="0" applyAlignment="1" applyBorder="1" applyFont="1" applyNumberFormat="1">
      <alignment horizontal="center" vertical="center"/>
    </xf>
    <xf borderId="32" fillId="0" fontId="2" numFmtId="169" xfId="0" applyAlignment="1" applyBorder="1" applyFont="1" applyNumberFormat="1">
      <alignment horizontal="center" vertical="center"/>
    </xf>
    <xf borderId="0" fillId="0" fontId="2" numFmtId="169" xfId="0" applyAlignment="1" applyFont="1" applyNumberFormat="1">
      <alignment horizontal="center" vertical="center"/>
    </xf>
    <xf borderId="33" fillId="0" fontId="2" numFmtId="169" xfId="0" applyAlignment="1" applyBorder="1" applyFont="1" applyNumberFormat="1">
      <alignment horizontal="center" vertical="center"/>
    </xf>
    <xf borderId="40" fillId="0" fontId="2" numFmtId="1" xfId="0" applyAlignment="1" applyBorder="1" applyFont="1" applyNumberFormat="1">
      <alignment horizontal="center"/>
    </xf>
    <xf borderId="34" fillId="0" fontId="2" numFmtId="49" xfId="0" applyAlignment="1" applyBorder="1" applyFont="1" applyNumberFormat="1">
      <alignment horizontal="center" shrinkToFit="0" vertical="center" wrapText="1"/>
    </xf>
    <xf borderId="41" fillId="0" fontId="2" numFmtId="1" xfId="0" applyAlignment="1" applyBorder="1" applyFont="1" applyNumberFormat="1">
      <alignment horizontal="center"/>
    </xf>
    <xf borderId="31" fillId="14" fontId="2" numFmtId="1" xfId="0" applyAlignment="1" applyBorder="1" applyFill="1" applyFont="1" applyNumberFormat="1">
      <alignment horizontal="center"/>
    </xf>
    <xf borderId="1" fillId="14" fontId="2" numFmtId="1" xfId="0" applyAlignment="1" applyBorder="1" applyFill="1" applyFont="1" applyNumberFormat="1">
      <alignment horizontal="center"/>
    </xf>
    <xf borderId="6" fillId="2" fontId="1" numFmtId="0" xfId="0" applyAlignment="1" applyBorder="1" applyFill="1" applyFont="1">
      <alignment horizontal="center" shrinkToFit="0" vertical="center" wrapText="1"/>
    </xf>
    <xf borderId="27" fillId="14" fontId="2" numFmtId="1" xfId="0" applyAlignment="1" applyBorder="1" applyFill="1" applyFont="1" applyNumberFormat="1">
      <alignment horizontal="center"/>
    </xf>
    <xf borderId="5" fillId="2" fontId="1" numFmtId="0" xfId="0" applyBorder="1" applyFill="1" applyFont="1"/>
    <xf borderId="2" fillId="5" fontId="1" numFmtId="0" xfId="0" applyBorder="1" applyFill="1" applyFont="1"/>
    <xf borderId="3" fillId="5" fontId="1" numFmtId="0" xfId="0" applyBorder="1" applyFill="1" applyFont="1"/>
    <xf borderId="4" fillId="5" fontId="1" numFmtId="0" xfId="0" applyBorder="1" applyFill="1" applyFont="1"/>
    <xf borderId="27" fillId="6" fontId="2" numFmtId="165" xfId="0" applyAlignment="1" applyBorder="1" applyFill="1" applyFont="1" applyNumberFormat="1">
      <alignment horizontal="center"/>
    </xf>
    <xf borderId="5" fillId="5" fontId="2" numFmtId="0" xfId="0" applyBorder="1" applyFill="1" applyFont="1"/>
    <xf borderId="1" fillId="5" fontId="1" numFmtId="0" xfId="0" applyAlignment="1" applyBorder="1" applyFill="1" applyFont="1">
      <alignment shrinkToFit="0" wrapText="1"/>
    </xf>
    <xf borderId="24" fillId="5" fontId="2" numFmtId="0" xfId="0" applyBorder="1" applyFill="1" applyFont="1"/>
    <xf quotePrefix="1" borderId="34" fillId="0" fontId="2" numFmtId="0" xfId="0" applyAlignment="1" applyBorder="1" applyFont="1">
      <alignment horizontal="center"/>
    </xf>
    <xf quotePrefix="1" borderId="34" fillId="0" fontId="1" numFmtId="0" xfId="0" applyAlignment="1" applyBorder="1" applyFont="1">
      <alignment horizontal="center"/>
    </xf>
    <xf borderId="1" fillId="2" fontId="2" numFmtId="0" xfId="0" applyAlignment="1" applyBorder="1" applyFill="1" applyFont="1">
      <alignment horizontal="right" shrinkToFit="0" vertical="center" wrapText="1"/>
    </xf>
    <xf borderId="39" fillId="0" fontId="2" numFmtId="0" xfId="0" applyAlignment="1" applyBorder="1" applyFont="1">
      <alignment horizontal="center"/>
    </xf>
    <xf borderId="2" fillId="6" fontId="2" numFmtId="172" xfId="0" applyAlignment="1" applyBorder="1" applyFill="1" applyFont="1" applyNumberFormat="1">
      <alignment shrinkToFit="0" wrapText="1"/>
    </xf>
    <xf borderId="3" fillId="6" fontId="2" numFmtId="172" xfId="0" applyBorder="1" applyFill="1" applyFont="1" applyNumberFormat="1"/>
    <xf borderId="3" fillId="5" fontId="2" numFmtId="171" xfId="0" applyBorder="1" applyFill="1" applyFont="1" applyNumberFormat="1"/>
    <xf borderId="4" fillId="5" fontId="2" numFmtId="171" xfId="0" applyBorder="1" applyFill="1" applyFont="1" applyNumberFormat="1"/>
    <xf borderId="10" fillId="6" fontId="2" numFmtId="0" xfId="0" applyAlignment="1" applyBorder="1" applyFill="1" applyFont="1">
      <alignment shrinkToFit="0" wrapText="1"/>
    </xf>
    <xf borderId="12" fillId="5" fontId="2" numFmtId="171" xfId="0" applyBorder="1" applyFill="1" applyFont="1" applyNumberFormat="1"/>
    <xf borderId="14" fillId="5" fontId="2" numFmtId="171" xfId="0" applyBorder="1" applyFill="1" applyFont="1" applyNumberFormat="1"/>
    <xf borderId="0" fillId="0" fontId="24" numFmtId="0" xfId="0" applyFont="1"/>
    <xf borderId="1" fillId="6" fontId="2" numFmtId="0" xfId="0" applyAlignment="1" applyBorder="1" applyFill="1" applyFont="1">
      <alignment shrinkToFit="0" wrapText="1"/>
    </xf>
    <xf borderId="2" fillId="6" fontId="2" numFmtId="1" xfId="0" applyBorder="1" applyFill="1" applyFont="1" applyNumberFormat="1"/>
    <xf borderId="3" fillId="6" fontId="2" numFmtId="165" xfId="0" applyBorder="1" applyFill="1" applyFont="1" applyNumberFormat="1"/>
    <xf borderId="4" fillId="6" fontId="2" numFmtId="0" xfId="0" applyBorder="1" applyFill="1" applyFont="1"/>
    <xf borderId="31" fillId="6" fontId="2" numFmtId="1" xfId="0" applyBorder="1" applyFill="1" applyFont="1" applyNumberFormat="1"/>
    <xf borderId="1" fillId="6" fontId="2" numFmtId="165" xfId="0" applyBorder="1" applyFill="1" applyFont="1" applyNumberFormat="1"/>
    <xf borderId="10" fillId="4" fontId="5" numFmtId="0" xfId="0" applyAlignment="1" applyBorder="1" applyFill="1" applyFont="1">
      <alignment vertical="top"/>
    </xf>
    <xf borderId="10" fillId="6" fontId="2" numFmtId="1" xfId="0" applyBorder="1" applyFill="1" applyFont="1" applyNumberFormat="1"/>
    <xf borderId="12" fillId="6" fontId="2" numFmtId="165" xfId="0" applyBorder="1" applyFill="1" applyFont="1" applyNumberFormat="1"/>
    <xf borderId="14" fillId="6" fontId="2" numFmtId="0" xfId="0" applyBorder="1" applyFill="1" applyFont="1"/>
    <xf borderId="45" fillId="6" fontId="2" numFmtId="9" xfId="0" applyBorder="1" applyFill="1" applyFont="1" applyNumberFormat="1"/>
    <xf borderId="0" fillId="0" fontId="1" numFmtId="0" xfId="0" applyAlignment="1" applyFont="1">
      <alignment shrinkToFit="0" wrapText="1"/>
    </xf>
    <xf borderId="0" fillId="0" fontId="25" numFmtId="9" xfId="0" applyFont="1" applyNumberFormat="1"/>
    <xf borderId="0" fillId="0" fontId="25" numFmtId="0" xfId="0" applyFont="1"/>
    <xf borderId="2" fillId="2" fontId="2" numFmtId="9" xfId="0" applyAlignment="1" applyBorder="1" applyFill="1" applyFont="1" applyNumberFormat="1">
      <alignment horizontal="center"/>
    </xf>
    <xf borderId="3" fillId="2" fontId="2" numFmtId="0" xfId="0" applyAlignment="1" applyBorder="1" applyFill="1" applyFont="1">
      <alignment horizontal="center"/>
    </xf>
    <xf borderId="4" fillId="2" fontId="2" numFmtId="0" xfId="0" applyAlignment="1" applyBorder="1" applyFill="1" applyFont="1">
      <alignment horizontal="center"/>
    </xf>
    <xf borderId="1" fillId="2" fontId="2" numFmtId="0" xfId="0" applyAlignment="1" applyBorder="1" applyFill="1" applyFont="1">
      <alignment shrinkToFit="0" wrapText="1"/>
    </xf>
    <xf borderId="2" fillId="2" fontId="1" numFmtId="9" xfId="0" applyBorder="1" applyFill="1" applyFont="1" applyNumberFormat="1"/>
    <xf borderId="3" fillId="2" fontId="1" numFmtId="0" xfId="0" applyBorder="1" applyFill="1" applyFont="1"/>
    <xf borderId="4" fillId="2" fontId="1" numFmtId="9" xfId="0" applyBorder="1" applyFill="1" applyFont="1" applyNumberFormat="1"/>
    <xf borderId="4" fillId="2" fontId="1" numFmtId="0" xfId="0" applyBorder="1" applyFill="1" applyFont="1"/>
    <xf borderId="1" fillId="6" fontId="1" numFmtId="0" xfId="0" applyAlignment="1" applyBorder="1" applyFill="1" applyFont="1">
      <alignment shrinkToFit="0" wrapText="1"/>
    </xf>
    <xf borderId="14" fillId="4" fontId="2" numFmtId="1" xfId="0" applyAlignment="1" applyBorder="1" applyFill="1" applyFont="1" applyNumberFormat="1">
      <alignment horizontal="center"/>
    </xf>
    <xf borderId="31" fillId="6" fontId="1" numFmtId="0" xfId="0" applyBorder="1" applyFill="1" applyFont="1"/>
    <xf borderId="1" fillId="6" fontId="1" numFmtId="0" xfId="0" applyBorder="1" applyFill="1" applyFont="1"/>
    <xf borderId="27" fillId="6" fontId="1" numFmtId="0" xfId="0" applyBorder="1" applyFill="1" applyFont="1"/>
    <xf borderId="31" fillId="6" fontId="18" numFmtId="0" xfId="0" applyBorder="1" applyFill="1" applyFont="1"/>
    <xf borderId="1" fillId="6" fontId="18" numFmtId="0" xfId="0" applyBorder="1" applyFill="1" applyFont="1"/>
    <xf borderId="27" fillId="6" fontId="18" numFmtId="0" xfId="0" applyBorder="1" applyFill="1" applyFont="1"/>
    <xf borderId="1" fillId="6" fontId="2" numFmtId="1" xfId="0" applyBorder="1" applyFill="1" applyFont="1" applyNumberFormat="1"/>
    <xf borderId="27" fillId="6" fontId="2" numFmtId="1" xfId="0" applyBorder="1" applyFill="1" applyFont="1" applyNumberFormat="1"/>
    <xf borderId="1" fillId="11" fontId="2" numFmtId="0" xfId="0" applyAlignment="1" applyBorder="1" applyFill="1" applyFont="1">
      <alignment shrinkToFit="0" vertical="center" wrapText="1"/>
    </xf>
    <xf borderId="12" fillId="6" fontId="2" numFmtId="1" xfId="0" applyBorder="1" applyFill="1" applyFont="1" applyNumberFormat="1"/>
    <xf borderId="14" fillId="6" fontId="2" numFmtId="1" xfId="0" applyBorder="1" applyFill="1" applyFont="1" applyNumberFormat="1"/>
    <xf borderId="3" fillId="6" fontId="2" numFmtId="1" xfId="0" applyBorder="1" applyFill="1" applyFont="1" applyNumberFormat="1"/>
    <xf borderId="4" fillId="6" fontId="2" numFmtId="1" xfId="0" applyBorder="1" applyFill="1" applyFont="1" applyNumberFormat="1"/>
    <xf borderId="0" fillId="0" fontId="2" numFmtId="1" xfId="0" applyFont="1" applyNumberFormat="1"/>
    <xf borderId="27" fillId="6" fontId="2" numFmtId="39" xfId="0" applyAlignment="1" applyBorder="1" applyFill="1" applyFont="1" applyNumberFormat="1">
      <alignment horizontal="right" vertical="center"/>
    </xf>
    <xf borderId="24" fillId="6" fontId="2" numFmtId="0" xfId="0" applyAlignment="1" applyBorder="1" applyFill="1" applyFont="1">
      <alignment horizontal="center" vertical="center"/>
    </xf>
    <xf borderId="32" fillId="0" fontId="10" numFmtId="0" xfId="0" applyAlignment="1" applyBorder="1" applyFont="1">
      <alignment horizontal="center"/>
    </xf>
    <xf borderId="39" fillId="0" fontId="2" numFmtId="0" xfId="0" applyBorder="1" applyFont="1"/>
    <xf borderId="31" fillId="6" fontId="2" numFmtId="167" xfId="0" applyAlignment="1" applyBorder="1" applyFill="1" applyFont="1" applyNumberFormat="1">
      <alignment horizontal="center" vertical="center"/>
    </xf>
    <xf borderId="27" fillId="6" fontId="2" numFmtId="167" xfId="0" applyAlignment="1" applyBorder="1" applyFill="1" applyFont="1" applyNumberFormat="1">
      <alignment horizontal="center" vertical="center"/>
    </xf>
    <xf borderId="31" fillId="4" fontId="5" numFmtId="0" xfId="0" applyBorder="1" applyFill="1" applyFont="1"/>
    <xf borderId="35" fillId="0" fontId="1" numFmtId="0" xfId="0" applyBorder="1" applyFont="1"/>
    <xf borderId="36" fillId="0" fontId="1" numFmtId="0" xfId="0" applyBorder="1" applyFont="1"/>
    <xf borderId="37" fillId="0" fontId="1" numFmtId="0" xfId="0" applyBorder="1" applyFont="1"/>
    <xf borderId="39" fillId="0" fontId="17" numFmtId="3" xfId="0" applyAlignment="1" applyBorder="1" applyFont="1" applyNumberFormat="1">
      <alignment horizontal="right"/>
    </xf>
    <xf borderId="40" fillId="0" fontId="17" numFmtId="3" xfId="0" applyAlignment="1" applyBorder="1" applyFont="1" applyNumberFormat="1">
      <alignment horizontal="right"/>
    </xf>
    <xf borderId="41" fillId="0" fontId="17" numFmtId="3" xfId="0" applyAlignment="1" applyBorder="1" applyFont="1" applyNumberFormat="1">
      <alignment horizontal="right"/>
    </xf>
    <xf borderId="43" fillId="0" fontId="2" numFmtId="3" xfId="0" applyBorder="1" applyFont="1" applyNumberFormat="1"/>
    <xf borderId="34" fillId="0" fontId="2" numFmtId="3" xfId="0" applyBorder="1" applyFont="1" applyNumberFormat="1"/>
    <xf borderId="27" fillId="4" fontId="5" numFmtId="0" xfId="0" applyAlignment="1" applyBorder="1" applyFill="1" applyFont="1">
      <alignment vertical="top"/>
    </xf>
    <xf borderId="34" fillId="0" fontId="2" numFmtId="165" xfId="0" applyBorder="1" applyFont="1" applyNumberFormat="1"/>
    <xf borderId="46" fillId="0" fontId="2" numFmtId="165" xfId="0" applyAlignment="1" applyBorder="1" applyFont="1" applyNumberFormat="1">
      <alignment shrinkToFit="0" wrapText="1"/>
    </xf>
    <xf borderId="0" fillId="0" fontId="1" numFmtId="9" xfId="0" applyFont="1" applyNumberFormat="1"/>
    <xf borderId="0" fillId="0" fontId="1" numFmtId="3" xfId="0" applyFont="1" applyNumberFormat="1"/>
    <xf borderId="28" fillId="8" fontId="2" numFmtId="0" xfId="0" applyBorder="1" applyFill="1" applyFont="1"/>
    <xf borderId="29" fillId="8" fontId="2" numFmtId="9" xfId="0" applyBorder="1" applyFill="1" applyFont="1" applyNumberFormat="1"/>
    <xf borderId="30" fillId="8" fontId="2" numFmtId="9" xfId="0" applyBorder="1" applyFill="1" applyFont="1" applyNumberFormat="1"/>
    <xf borderId="0" fillId="0" fontId="23" numFmtId="0" xfId="0" applyFont="1"/>
    <xf borderId="2" fillId="8" fontId="2" numFmtId="0" xfId="0" applyBorder="1" applyFill="1" applyFont="1"/>
    <xf borderId="3" fillId="8" fontId="2" numFmtId="0" xfId="0" applyBorder="1" applyFill="1" applyFont="1"/>
    <xf borderId="4" fillId="8" fontId="2" numFmtId="0" xfId="0" applyBorder="1" applyFill="1" applyFont="1"/>
    <xf borderId="10" fillId="8" fontId="2" numFmtId="0" xfId="0" applyBorder="1" applyFill="1" applyFont="1"/>
    <xf borderId="14" fillId="8" fontId="2" numFmtId="0" xfId="0" applyBorder="1" applyFill="1" applyFont="1"/>
    <xf borderId="37" fillId="0" fontId="2" numFmtId="9" xfId="0" applyBorder="1" applyFont="1" applyNumberFormat="1"/>
    <xf borderId="41" fillId="0" fontId="2" numFmtId="9" xfId="0" applyBorder="1" applyFont="1" applyNumberFormat="1"/>
    <xf borderId="10" fillId="6" fontId="18" numFmtId="0" xfId="0" applyBorder="1" applyFill="1" applyFont="1"/>
    <xf borderId="12" fillId="6" fontId="18" numFmtId="0" xfId="0" applyBorder="1" applyFill="1" applyFont="1"/>
    <xf borderId="14" fillId="6" fontId="18" numFmtId="0" xfId="0" applyBorder="1" applyFill="1" applyFont="1"/>
    <xf borderId="35" fillId="0" fontId="2" numFmtId="165" xfId="0" applyBorder="1" applyFont="1" applyNumberFormat="1"/>
    <xf borderId="38" fillId="4" fontId="5" numFmtId="0" xfId="0" applyBorder="1" applyFill="1" applyFont="1"/>
    <xf borderId="36" fillId="0" fontId="2" numFmtId="165" xfId="0" applyBorder="1" applyFont="1" applyNumberFormat="1"/>
    <xf borderId="37" fillId="0" fontId="2" numFmtId="165" xfId="0" applyBorder="1" applyFont="1" applyNumberFormat="1"/>
    <xf borderId="39" fillId="0" fontId="2" numFmtId="165" xfId="0" applyBorder="1" applyFont="1" applyNumberFormat="1"/>
    <xf borderId="41" fillId="0" fontId="2" numFmtId="165" xfId="0" applyBorder="1" applyFont="1" applyNumberFormat="1"/>
    <xf borderId="1" fillId="2" fontId="11" numFmtId="3" xfId="0" applyAlignment="1" applyBorder="1" applyFill="1" applyFont="1" applyNumberFormat="1">
      <alignment horizontal="center"/>
    </xf>
    <xf borderId="36" fillId="0" fontId="2" numFmtId="9" xfId="0" applyBorder="1" applyFont="1" applyNumberFormat="1"/>
    <xf borderId="39" fillId="0" fontId="2" numFmtId="9" xfId="0" applyBorder="1" applyFont="1" applyNumberFormat="1"/>
    <xf borderId="40" fillId="0" fontId="2" numFmtId="9" xfId="0" applyBorder="1" applyFont="1" applyNumberFormat="1"/>
    <xf borderId="2" fillId="6" fontId="2" numFmtId="0" xfId="0" applyBorder="1" applyFill="1" applyFont="1"/>
    <xf borderId="3" fillId="6" fontId="2" numFmtId="0" xfId="0" applyBorder="1" applyFill="1" applyFont="1"/>
    <xf borderId="24" fillId="6" fontId="2" numFmtId="167" xfId="0" applyAlignment="1" applyBorder="1" applyFill="1" applyFont="1" applyNumberFormat="1">
      <alignment horizontal="center" vertical="center"/>
    </xf>
    <xf borderId="14" fillId="6" fontId="2" numFmtId="1" xfId="0" applyAlignment="1" applyBorder="1" applyFill="1" applyFont="1" applyNumberFormat="1">
      <alignment horizontal="center"/>
    </xf>
    <xf borderId="40" fillId="0" fontId="1" numFmtId="0" xfId="0" applyBorder="1" applyFont="1"/>
    <xf borderId="40" fillId="0" fontId="10" numFmtId="0" xfId="0" applyAlignment="1" applyBorder="1" applyFont="1">
      <alignment horizontal="center"/>
    </xf>
    <xf borderId="5" fillId="4" fontId="5" numFmtId="0" xfId="0" applyBorder="1" applyFill="1" applyFont="1"/>
    <xf borderId="24" fillId="4" fontId="5" numFmtId="0" xfId="0" applyBorder="1" applyFill="1" applyFont="1"/>
    <xf borderId="14" fillId="6" fontId="2" numFmtId="171" xfId="0" applyBorder="1" applyFill="1" applyFont="1" applyNumberFormat="1"/>
    <xf borderId="1" fillId="4" fontId="2" numFmtId="0" xfId="0" applyAlignment="1" applyBorder="1" applyFill="1" applyFont="1">
      <alignment horizontal="center"/>
    </xf>
    <xf borderId="24" fillId="4" fontId="5" numFmtId="0" xfId="0" applyAlignment="1" applyBorder="1" applyFill="1" applyFont="1">
      <alignment vertical="center"/>
    </xf>
    <xf borderId="38" fillId="4" fontId="5" numFmtId="0" xfId="0" applyAlignment="1" applyBorder="1" applyFill="1" applyFont="1">
      <alignment vertical="center"/>
    </xf>
    <xf borderId="12" fillId="4" fontId="2" numFmtId="9" xfId="0" applyAlignment="1" applyBorder="1" applyFill="1" applyFont="1" applyNumberFormat="1">
      <alignment horizontal="center"/>
    </xf>
    <xf borderId="12" fillId="4" fontId="2" numFmtId="0" xfId="0" applyAlignment="1" applyBorder="1" applyFill="1" applyFont="1">
      <alignment horizontal="center"/>
    </xf>
    <xf borderId="42" fillId="0" fontId="2" numFmtId="0" xfId="0" applyBorder="1" applyFont="1"/>
    <xf borderId="42" fillId="0" fontId="10" numFmtId="0" xfId="0" applyBorder="1" applyFont="1"/>
    <xf borderId="31" fillId="6" fontId="2" numFmtId="0" xfId="0" applyAlignment="1" applyBorder="1" applyFill="1" applyFont="1">
      <alignment horizontal="center" vertical="center"/>
    </xf>
    <xf borderId="1" fillId="5" fontId="1" numFmtId="0" xfId="0" applyAlignment="1" applyBorder="1" applyFill="1" applyFont="1">
      <alignment shrinkToFit="0" vertical="center" wrapText="1"/>
    </xf>
    <xf borderId="32" fillId="0" fontId="2" numFmtId="0" xfId="0" applyAlignment="1" applyBorder="1" applyFont="1">
      <alignment horizontal="center" shrinkToFit="0" vertical="center" wrapText="1"/>
    </xf>
    <xf borderId="47" fillId="0" fontId="2" numFmtId="0" xfId="0" applyAlignment="1" applyBorder="1" applyFont="1">
      <alignment horizontal="center" shrinkToFit="0" vertical="center" wrapText="1"/>
    </xf>
    <xf borderId="42" fillId="0" fontId="2" numFmtId="166" xfId="0" applyAlignment="1" applyBorder="1" applyFont="1" applyNumberFormat="1">
      <alignment horizontal="center" shrinkToFit="0" vertical="center" wrapText="1"/>
    </xf>
    <xf borderId="48" fillId="0" fontId="2" numFmtId="166" xfId="0" applyAlignment="1" applyBorder="1" applyFont="1" applyNumberFormat="1">
      <alignment horizontal="center" shrinkToFit="0" vertical="center" wrapText="1"/>
    </xf>
    <xf borderId="39" fillId="0" fontId="2" numFmtId="0" xfId="0" applyAlignment="1" applyBorder="1" applyFont="1">
      <alignment horizontal="center" shrinkToFit="0" vertical="center" wrapText="1"/>
    </xf>
    <xf borderId="40" fillId="0" fontId="2" numFmtId="0" xfId="0" applyAlignment="1" applyBorder="1" applyFont="1">
      <alignment horizontal="center" shrinkToFit="0" vertical="center" wrapText="1"/>
    </xf>
    <xf borderId="41" fillId="0" fontId="2" numFmtId="0" xfId="0" applyAlignment="1" applyBorder="1" applyFont="1">
      <alignment horizontal="center" shrinkToFit="0" vertical="center" wrapText="1"/>
    </xf>
    <xf borderId="40" fillId="0" fontId="2" numFmtId="49" xfId="0" applyAlignment="1" applyBorder="1" applyFont="1" applyNumberFormat="1">
      <alignment horizontal="center" shrinkToFit="0" vertical="center" wrapText="1"/>
    </xf>
    <xf borderId="40" fillId="0" fontId="3" numFmtId="0" xfId="0" applyBorder="1" applyFont="1"/>
    <xf borderId="41" fillId="0" fontId="2" numFmtId="49" xfId="0" applyAlignment="1" applyBorder="1" applyFont="1" applyNumberFormat="1">
      <alignment horizontal="center" shrinkToFit="0" vertical="center" wrapText="1"/>
    </xf>
    <xf borderId="1" fillId="2" fontId="1" numFmtId="0" xfId="0" applyAlignment="1" applyBorder="1" applyFill="1" applyFont="1">
      <alignment vertical="center"/>
    </xf>
    <xf borderId="2" fillId="6" fontId="2" numFmtId="1" xfId="0" applyAlignment="1" applyBorder="1" applyFill="1" applyFont="1" applyNumberFormat="1">
      <alignment horizontal="center"/>
    </xf>
    <xf borderId="3" fillId="6" fontId="2" numFmtId="1" xfId="0" applyAlignment="1" applyBorder="1" applyFill="1" applyFont="1" applyNumberFormat="1">
      <alignment horizontal="center"/>
    </xf>
    <xf borderId="4" fillId="6" fontId="2" numFmtId="1" xfId="0" applyAlignment="1" applyBorder="1" applyFill="1" applyFont="1" applyNumberFormat="1">
      <alignment horizontal="center"/>
    </xf>
    <xf borderId="0" fillId="0" fontId="10" numFmtId="1" xfId="0" applyAlignment="1" applyFont="1" applyNumberFormat="1">
      <alignment horizontal="center"/>
    </xf>
    <xf borderId="31" fillId="6" fontId="2" numFmtId="2" xfId="0" applyAlignment="1" applyBorder="1" applyFill="1" applyFont="1" applyNumberFormat="1">
      <alignment horizontal="center"/>
    </xf>
    <xf borderId="1" fillId="6" fontId="2" numFmtId="2" xfId="0" applyAlignment="1" applyBorder="1" applyFill="1" applyFont="1" applyNumberFormat="1">
      <alignment horizontal="center"/>
    </xf>
    <xf borderId="40" fillId="0" fontId="10" numFmtId="1" xfId="0" applyAlignment="1" applyBorder="1" applyFont="1" applyNumberFormat="1">
      <alignment horizontal="center"/>
    </xf>
    <xf borderId="27" fillId="6" fontId="2" numFmtId="2" xfId="0" applyAlignment="1" applyBorder="1" applyFill="1" applyFont="1" applyNumberFormat="1">
      <alignment horizontal="center"/>
    </xf>
    <xf borderId="2" fillId="4" fontId="5" numFmtId="0" xfId="0" applyAlignment="1" applyBorder="1" applyFill="1" applyFont="1">
      <alignment vertical="center"/>
    </xf>
    <xf borderId="2" fillId="4" fontId="2" numFmtId="1" xfId="0" applyAlignment="1" applyBorder="1" applyFill="1" applyFont="1" applyNumberFormat="1">
      <alignment horizontal="center" vertical="center"/>
    </xf>
    <xf borderId="3" fillId="4" fontId="2" numFmtId="1" xfId="0" applyAlignment="1" applyBorder="1" applyFill="1" applyFont="1" applyNumberFormat="1">
      <alignment horizontal="center" vertical="center"/>
    </xf>
    <xf borderId="4" fillId="4" fontId="2" numFmtId="1" xfId="0" applyAlignment="1" applyBorder="1" applyFill="1" applyFont="1" applyNumberFormat="1">
      <alignment horizontal="center" vertical="center"/>
    </xf>
    <xf borderId="3" fillId="4" fontId="10" numFmtId="1" xfId="0" applyAlignment="1" applyBorder="1" applyFill="1" applyFont="1" applyNumberFormat="1">
      <alignment horizontal="center" vertical="center"/>
    </xf>
    <xf borderId="3" fillId="4" fontId="2" numFmtId="165" xfId="0" applyAlignment="1" applyBorder="1" applyFill="1" applyFont="1" applyNumberFormat="1">
      <alignment horizontal="center" vertical="center"/>
    </xf>
    <xf borderId="4" fillId="4" fontId="2" numFmtId="165" xfId="0" applyAlignment="1" applyBorder="1" applyFill="1" applyFont="1" applyNumberFormat="1">
      <alignment horizontal="center" vertical="center"/>
    </xf>
    <xf borderId="31" fillId="4" fontId="5" numFmtId="0" xfId="0" applyAlignment="1" applyBorder="1" applyFill="1" applyFont="1">
      <alignment vertical="center"/>
    </xf>
    <xf borderId="31" fillId="4" fontId="2" numFmtId="1" xfId="0" applyAlignment="1" applyBorder="1" applyFill="1" applyFont="1" applyNumberFormat="1">
      <alignment horizontal="center" vertical="center"/>
    </xf>
    <xf borderId="1" fillId="4" fontId="2" numFmtId="1" xfId="0" applyAlignment="1" applyBorder="1" applyFill="1" applyFont="1" applyNumberFormat="1">
      <alignment horizontal="center" vertical="center"/>
    </xf>
    <xf borderId="27" fillId="4" fontId="2" numFmtId="1" xfId="0" applyAlignment="1" applyBorder="1" applyFill="1" applyFont="1" applyNumberFormat="1">
      <alignment horizontal="center" vertical="center"/>
    </xf>
    <xf borderId="1" fillId="4" fontId="10" numFmtId="1" xfId="0" applyAlignment="1" applyBorder="1" applyFill="1" applyFont="1" applyNumberFormat="1">
      <alignment horizontal="center" vertical="center"/>
    </xf>
    <xf borderId="1" fillId="4" fontId="2" numFmtId="165" xfId="0" applyAlignment="1" applyBorder="1" applyFill="1" applyFont="1" applyNumberFormat="1">
      <alignment horizontal="center" vertical="center"/>
    </xf>
    <xf borderId="27" fillId="4" fontId="2" numFmtId="165" xfId="0" applyAlignment="1" applyBorder="1" applyFill="1" applyFont="1" applyNumberFormat="1">
      <alignment horizontal="center" vertical="center"/>
    </xf>
    <xf borderId="31" fillId="4" fontId="10" numFmtId="1" xfId="0" applyAlignment="1" applyBorder="1" applyFill="1" applyFont="1" applyNumberFormat="1">
      <alignment horizontal="center" vertical="center"/>
    </xf>
    <xf borderId="27" fillId="4" fontId="10" numFmtId="1" xfId="0" applyAlignment="1" applyBorder="1" applyFill="1" applyFont="1" applyNumberFormat="1">
      <alignment horizontal="center" vertical="center"/>
    </xf>
    <xf borderId="2" fillId="6" fontId="2" numFmtId="169" xfId="0" applyAlignment="1" applyBorder="1" applyFill="1" applyFont="1" applyNumberFormat="1">
      <alignment horizontal="center" vertical="center"/>
    </xf>
    <xf borderId="10" fillId="4" fontId="5" numFmtId="0" xfId="0" applyAlignment="1" applyBorder="1" applyFill="1" applyFont="1">
      <alignment vertical="center"/>
    </xf>
    <xf borderId="3" fillId="6" fontId="2" numFmtId="169" xfId="0" applyAlignment="1" applyBorder="1" applyFill="1" applyFont="1" applyNumberFormat="1">
      <alignment horizontal="center" vertical="center"/>
    </xf>
    <xf borderId="4" fillId="6" fontId="2" numFmtId="169" xfId="0" applyAlignment="1" applyBorder="1" applyFill="1" applyFont="1" applyNumberFormat="1">
      <alignment horizontal="center" vertical="center"/>
    </xf>
    <xf borderId="10" fillId="4" fontId="2" numFmtId="9" xfId="0" applyAlignment="1" applyBorder="1" applyFill="1" applyFont="1" applyNumberFormat="1">
      <alignment horizontal="center"/>
    </xf>
    <xf borderId="14" fillId="4" fontId="2" numFmtId="9" xfId="0" applyAlignment="1" applyBorder="1" applyFill="1" applyFont="1" applyNumberFormat="1">
      <alignment horizontal="center"/>
    </xf>
    <xf borderId="32" fillId="0" fontId="2" numFmtId="0" xfId="0" applyAlignment="1" applyBorder="1" applyFont="1">
      <alignment vertical="center"/>
    </xf>
    <xf borderId="1" fillId="2" fontId="1" numFmtId="49" xfId="0" applyAlignment="1" applyBorder="1" applyFill="1" applyFont="1" applyNumberFormat="1">
      <alignment vertical="center"/>
    </xf>
    <xf borderId="36" fillId="0" fontId="2" numFmtId="0" xfId="0" applyAlignment="1" applyBorder="1" applyFont="1">
      <alignment horizontal="left"/>
    </xf>
    <xf borderId="40" fillId="0" fontId="2" numFmtId="0" xfId="0" applyAlignment="1" applyBorder="1" applyFont="1">
      <alignment horizontal="left"/>
    </xf>
    <xf borderId="12" fillId="15" fontId="1" numFmtId="0" xfId="0" applyBorder="1" applyFill="1" applyFont="1"/>
    <xf borderId="24" fillId="6" fontId="2" numFmtId="0" xfId="0" applyAlignment="1" applyBorder="1" applyFill="1" applyFont="1">
      <alignment horizontal="center"/>
    </xf>
    <xf borderId="0" fillId="0" fontId="2" numFmtId="49" xfId="0" applyFont="1" applyNumberFormat="1"/>
    <xf borderId="1" fillId="5" fontId="2" numFmtId="0" xfId="0" applyAlignment="1" applyBorder="1" applyFill="1" applyFont="1">
      <alignment shrinkToFit="0" wrapText="1"/>
    </xf>
    <xf borderId="31" fillId="8" fontId="2" numFmtId="10" xfId="0" applyAlignment="1" applyBorder="1" applyFill="1" applyFont="1" applyNumberFormat="1">
      <alignment horizontal="center" vertical="center"/>
    </xf>
    <xf borderId="1" fillId="8" fontId="2" numFmtId="10" xfId="0" applyAlignment="1" applyBorder="1" applyFill="1" applyFont="1" applyNumberFormat="1">
      <alignment horizontal="center" vertical="center"/>
    </xf>
    <xf borderId="27" fillId="8" fontId="2" numFmtId="10" xfId="0" applyAlignment="1" applyBorder="1" applyFill="1" applyFont="1" applyNumberFormat="1">
      <alignment horizontal="center" vertical="center"/>
    </xf>
    <xf borderId="1" fillId="8" fontId="2" numFmtId="10" xfId="0" applyBorder="1" applyFill="1" applyFont="1" applyNumberFormat="1"/>
    <xf borderId="1" fillId="16" fontId="1" numFmtId="49" xfId="0" applyAlignment="1" applyBorder="1" applyFill="1" applyFont="1" applyNumberFormat="1">
      <alignment shrinkToFit="0" vertical="center" wrapText="1"/>
    </xf>
    <xf borderId="27" fillId="8" fontId="2" numFmtId="10" xfId="0" applyBorder="1" applyFill="1" applyFont="1" applyNumberFormat="1"/>
    <xf borderId="1" fillId="16" fontId="17" numFmtId="49" xfId="0" applyAlignment="1" applyBorder="1" applyFill="1" applyFont="1" applyNumberFormat="1">
      <alignment shrinkToFit="0" wrapText="1"/>
    </xf>
    <xf borderId="1" fillId="2" fontId="17" numFmtId="49" xfId="0" applyAlignment="1" applyBorder="1" applyFill="1" applyFont="1" applyNumberFormat="1">
      <alignment shrinkToFit="0" wrapText="1"/>
    </xf>
    <xf borderId="1" fillId="2" fontId="17" numFmtId="49" xfId="0" applyBorder="1" applyFill="1" applyFont="1" applyNumberFormat="1"/>
    <xf borderId="0" fillId="0" fontId="17" numFmtId="49" xfId="0" applyFont="1" applyNumberFormat="1"/>
    <xf borderId="31" fillId="8" fontId="2" numFmtId="10" xfId="0" applyAlignment="1" applyBorder="1" applyFill="1" applyFont="1" applyNumberFormat="1">
      <alignment horizontal="center"/>
    </xf>
    <xf borderId="1" fillId="8" fontId="2" numFmtId="10" xfId="0" applyAlignment="1" applyBorder="1" applyFill="1" applyFont="1" applyNumberFormat="1">
      <alignment horizontal="center"/>
    </xf>
    <xf borderId="1" fillId="2" fontId="2" numFmtId="49" xfId="0" applyAlignment="1" applyBorder="1" applyFill="1" applyFont="1" applyNumberFormat="1">
      <alignment shrinkToFit="0" wrapText="1"/>
    </xf>
    <xf borderId="27" fillId="8" fontId="2" numFmtId="10" xfId="0" applyAlignment="1" applyBorder="1" applyFill="1" applyFont="1" applyNumberFormat="1">
      <alignment horizontal="center"/>
    </xf>
    <xf borderId="1" fillId="8" fontId="5" numFmtId="10" xfId="0" applyBorder="1" applyFill="1" applyFont="1" applyNumberFormat="1"/>
    <xf borderId="0" fillId="0" fontId="17" numFmtId="49" xfId="0" applyAlignment="1" applyFont="1" applyNumberFormat="1">
      <alignment shrinkToFit="0" wrapText="1"/>
    </xf>
    <xf borderId="27" fillId="8" fontId="5" numFmtId="10" xfId="0" applyBorder="1" applyFill="1" applyFont="1" applyNumberFormat="1"/>
    <xf borderId="10" fillId="8" fontId="2" numFmtId="10" xfId="0" applyAlignment="1" applyBorder="1" applyFill="1" applyFont="1" applyNumberFormat="1">
      <alignment horizontal="center" vertical="center"/>
    </xf>
    <xf borderId="12" fillId="8" fontId="2" numFmtId="10" xfId="0" applyAlignment="1" applyBorder="1" applyFill="1" applyFont="1" applyNumberFormat="1">
      <alignment horizontal="center" vertical="center"/>
    </xf>
    <xf borderId="14" fillId="8" fontId="2" numFmtId="10" xfId="0" applyAlignment="1" applyBorder="1" applyFill="1" applyFont="1" applyNumberFormat="1">
      <alignment horizontal="center" vertical="center"/>
    </xf>
    <xf borderId="12" fillId="8" fontId="2" numFmtId="10" xfId="0" applyBorder="1" applyFill="1" applyFont="1" applyNumberFormat="1"/>
    <xf borderId="14" fillId="8" fontId="2" numFmtId="10" xfId="0" applyBorder="1" applyFill="1" applyFont="1" applyNumberFormat="1"/>
    <xf borderId="0" fillId="0" fontId="1" numFmtId="0" xfId="0" applyAlignment="1" applyFont="1">
      <alignment horizontal="center" vertical="center"/>
    </xf>
    <xf borderId="1" fillId="2" fontId="18" numFmtId="49" xfId="0" applyAlignment="1" applyBorder="1" applyFill="1" applyFont="1" applyNumberFormat="1">
      <alignment horizontal="center" shrinkToFit="0" wrapText="1"/>
    </xf>
    <xf borderId="1" fillId="5" fontId="17" numFmtId="49" xfId="0" applyAlignment="1" applyBorder="1" applyFill="1" applyFont="1" applyNumberFormat="1">
      <alignment shrinkToFit="0" wrapText="1"/>
    </xf>
    <xf borderId="1" fillId="6" fontId="17" numFmtId="49" xfId="0" applyAlignment="1" applyBorder="1" applyFill="1" applyFont="1" applyNumberFormat="1">
      <alignment horizontal="center" shrinkToFit="0" wrapText="1"/>
    </xf>
    <xf borderId="0" fillId="0" fontId="1" numFmtId="0" xfId="0" applyAlignment="1" applyFont="1">
      <alignment horizontal="center"/>
    </xf>
    <xf borderId="0" fillId="0" fontId="11" numFmtId="3" xfId="0" applyAlignment="1" applyFont="1" applyNumberFormat="1">
      <alignment horizontal="center"/>
    </xf>
    <xf borderId="1" fillId="6" fontId="2" numFmtId="9" xfId="0" applyAlignment="1" applyBorder="1" applyFill="1" applyFont="1" applyNumberFormat="1">
      <alignment horizontal="center" shrinkToFit="0" wrapText="1"/>
    </xf>
    <xf borderId="1" fillId="6" fontId="17" numFmtId="1" xfId="0" applyAlignment="1" applyBorder="1" applyFill="1" applyFont="1" applyNumberFormat="1">
      <alignment horizontal="center" shrinkToFit="0" wrapText="1"/>
    </xf>
    <xf borderId="0" fillId="0" fontId="2" numFmtId="10" xfId="0" applyAlignment="1" applyFont="1" applyNumberFormat="1">
      <alignment horizontal="center"/>
    </xf>
    <xf borderId="1" fillId="5" fontId="1" numFmtId="0" xfId="0" applyBorder="1" applyFill="1" applyFont="1"/>
    <xf borderId="1" fillId="6" fontId="17" numFmtId="171" xfId="0" applyAlignment="1" applyBorder="1" applyFill="1" applyFont="1" applyNumberFormat="1">
      <alignment horizontal="center" shrinkToFit="0" wrapText="1"/>
    </xf>
    <xf borderId="34" fillId="0" fontId="2" numFmtId="9" xfId="0" applyAlignment="1" applyBorder="1" applyFont="1" applyNumberFormat="1">
      <alignment horizontal="center"/>
    </xf>
    <xf borderId="34" fillId="0" fontId="2" numFmtId="0" xfId="0" applyAlignment="1" applyBorder="1" applyFont="1">
      <alignment horizontal="center"/>
    </xf>
    <xf borderId="1" fillId="2" fontId="18" numFmtId="49" xfId="0" applyAlignment="1" applyBorder="1" applyFill="1" applyFont="1" applyNumberFormat="1">
      <alignment shrinkToFit="0" wrapText="1"/>
    </xf>
    <xf borderId="0" fillId="0" fontId="25" numFmtId="0" xfId="0" applyAlignment="1" applyFont="1">
      <alignment shrinkToFit="0" vertical="center" wrapText="1"/>
    </xf>
    <xf borderId="1" fillId="17" fontId="17" numFmtId="1" xfId="0" applyAlignment="1" applyBorder="1" applyFill="1" applyFont="1" applyNumberFormat="1">
      <alignment horizontal="center" shrinkToFit="0" wrapText="1"/>
    </xf>
    <xf borderId="1" fillId="6" fontId="17" numFmtId="165" xfId="0" applyAlignment="1" applyBorder="1" applyFill="1" applyFont="1" applyNumberFormat="1">
      <alignment horizontal="center" shrinkToFit="0" wrapText="1"/>
    </xf>
    <xf borderId="31" fillId="4" fontId="5" numFmtId="0" xfId="0" applyAlignment="1" applyBorder="1" applyFill="1" applyFont="1">
      <alignment shrinkToFit="0" vertical="top" wrapText="1"/>
    </xf>
    <xf borderId="1" fillId="6" fontId="2" numFmtId="165" xfId="0" applyAlignment="1" applyBorder="1" applyFill="1" applyFont="1" applyNumberFormat="1">
      <alignment horizontal="center" shrinkToFit="0" wrapText="1"/>
    </xf>
    <xf borderId="49" fillId="0" fontId="3" numFmtId="0" xfId="0" applyBorder="1" applyFont="1"/>
    <xf borderId="45" fillId="2" fontId="1" numFmtId="0" xfId="0" applyBorder="1" applyFill="1" applyFont="1"/>
    <xf borderId="24" fillId="5" fontId="2" numFmtId="0" xfId="0" applyAlignment="1" applyBorder="1" applyFill="1" applyFont="1">
      <alignment horizontal="center"/>
    </xf>
    <xf borderId="1" fillId="6" fontId="2" numFmtId="0" xfId="0" applyAlignment="1" applyBorder="1" applyFill="1" applyFont="1">
      <alignment horizontal="left" shrinkToFit="0" vertical="top" wrapText="1"/>
    </xf>
    <xf borderId="39" fillId="0" fontId="2" numFmtId="171" xfId="0" applyAlignment="1" applyBorder="1" applyFont="1" applyNumberFormat="1">
      <alignment horizontal="center"/>
    </xf>
    <xf borderId="40" fillId="0" fontId="2" numFmtId="171" xfId="0" applyAlignment="1" applyBorder="1" applyFont="1" applyNumberFormat="1">
      <alignment horizontal="center"/>
    </xf>
    <xf borderId="41" fillId="0" fontId="2" numFmtId="171" xfId="0" applyAlignment="1" applyBorder="1" applyFont="1" applyNumberFormat="1">
      <alignment horizontal="center"/>
    </xf>
    <xf borderId="46" fillId="0" fontId="2" numFmtId="0" xfId="0" applyAlignment="1" applyBorder="1" applyFont="1">
      <alignment horizontal="center"/>
    </xf>
    <xf borderId="31" fillId="8" fontId="2" numFmtId="9" xfId="0" applyAlignment="1" applyBorder="1" applyFill="1" applyFont="1" applyNumberFormat="1">
      <alignment horizontal="center"/>
    </xf>
    <xf borderId="27" fillId="8" fontId="2" numFmtId="9" xfId="0" applyAlignment="1" applyBorder="1" applyFill="1" applyFont="1" applyNumberFormat="1">
      <alignment horizontal="center"/>
    </xf>
    <xf borderId="0" fillId="0" fontId="26" numFmtId="171" xfId="0" applyFont="1" applyNumberFormat="1"/>
    <xf borderId="10" fillId="6" fontId="1" numFmtId="9" xfId="0" applyAlignment="1" applyBorder="1" applyFill="1" applyFont="1" applyNumberFormat="1">
      <alignment horizontal="center" vertical="top"/>
    </xf>
    <xf borderId="12" fillId="6" fontId="1" numFmtId="9" xfId="0" applyAlignment="1" applyBorder="1" applyFill="1" applyFont="1" applyNumberFormat="1">
      <alignment horizontal="center" vertical="top"/>
    </xf>
    <xf borderId="14" fillId="6" fontId="1" numFmtId="9" xfId="0" applyAlignment="1" applyBorder="1" applyFill="1" applyFont="1" applyNumberFormat="1">
      <alignment horizontal="center" vertical="top"/>
    </xf>
    <xf borderId="0" fillId="0" fontId="1" numFmtId="165" xfId="0" applyAlignment="1" applyFont="1" applyNumberFormat="1">
      <alignment horizontal="center"/>
    </xf>
    <xf borderId="36" fillId="0" fontId="2" numFmtId="165" xfId="0" applyAlignment="1" applyBorder="1" applyFont="1" applyNumberFormat="1">
      <alignment horizontal="left" shrinkToFit="0" vertical="top" wrapText="1"/>
    </xf>
    <xf borderId="36" fillId="0" fontId="3" numFmtId="0" xfId="0" applyBorder="1" applyFont="1"/>
    <xf borderId="25" fillId="6" fontId="2" numFmtId="0" xfId="0" applyAlignment="1" applyBorder="1" applyFill="1" applyFont="1">
      <alignment horizontal="left" shrinkToFit="0" wrapText="1"/>
    </xf>
    <xf borderId="1" fillId="6" fontId="5" numFmtId="0" xfId="0" applyAlignment="1" applyBorder="1" applyFill="1" applyFont="1">
      <alignment horizontal="left"/>
    </xf>
    <xf borderId="1" fillId="6" fontId="2" numFmtId="0" xfId="0" applyAlignment="1" applyBorder="1" applyFill="1" applyFont="1">
      <alignment horizontal="left" shrinkToFit="0" wrapText="1"/>
    </xf>
    <xf borderId="1" fillId="2" fontId="1" numFmtId="0" xfId="0" applyAlignment="1" applyBorder="1" applyFill="1" applyFont="1">
      <alignment horizontal="left" shrinkToFit="0" vertical="center" wrapText="1"/>
    </xf>
    <xf borderId="6" fillId="2" fontId="1" numFmtId="0" xfId="0" applyAlignment="1" applyBorder="1" applyFill="1" applyFont="1">
      <alignment horizontal="center" vertical="center"/>
    </xf>
    <xf borderId="5" fillId="2" fontId="1" numFmtId="0" xfId="0" applyAlignment="1" applyBorder="1" applyFill="1" applyFont="1">
      <alignment horizontal="center" shrinkToFit="0" vertical="center" wrapText="1"/>
    </xf>
    <xf borderId="31" fillId="6" fontId="1" numFmtId="0" xfId="0" applyAlignment="1" applyBorder="1" applyFill="1" applyFont="1">
      <alignment horizontal="center" vertical="center"/>
    </xf>
    <xf borderId="1" fillId="6" fontId="1" numFmtId="0" xfId="0" applyAlignment="1" applyBorder="1" applyFill="1" applyFont="1">
      <alignment horizontal="center" vertical="center"/>
    </xf>
    <xf borderId="27" fillId="6" fontId="1" numFmtId="0" xfId="0" applyAlignment="1" applyBorder="1" applyFill="1" applyFont="1">
      <alignment horizontal="center" vertical="center"/>
    </xf>
    <xf borderId="1" fillId="5" fontId="1" numFmtId="0" xfId="0" applyAlignment="1" applyBorder="1" applyFill="1" applyFont="1">
      <alignment horizontal="left" shrinkToFit="0" wrapText="1"/>
    </xf>
    <xf borderId="10" fillId="6" fontId="2" numFmtId="1" xfId="0" applyAlignment="1" applyBorder="1" applyFill="1" applyFont="1" applyNumberFormat="1">
      <alignment horizontal="center" vertical="center"/>
    </xf>
    <xf borderId="12" fillId="6" fontId="2" numFmtId="1" xfId="0" applyAlignment="1" applyBorder="1" applyFill="1" applyFont="1" applyNumberFormat="1">
      <alignment horizontal="center" vertical="center"/>
    </xf>
    <xf borderId="14" fillId="6" fontId="2" numFmtId="1" xfId="0" applyAlignment="1" applyBorder="1" applyFill="1" applyFont="1" applyNumberFormat="1">
      <alignment horizontal="center" vertical="center"/>
    </xf>
    <xf borderId="10" fillId="6" fontId="2" numFmtId="9" xfId="0" applyAlignment="1" applyBorder="1" applyFill="1" applyFont="1" applyNumberFormat="1">
      <alignment horizontal="center" vertical="center"/>
    </xf>
    <xf borderId="12" fillId="6" fontId="2" numFmtId="9" xfId="0" applyAlignment="1" applyBorder="1" applyFill="1" applyFont="1" applyNumberFormat="1">
      <alignment horizontal="center" vertical="center"/>
    </xf>
    <xf borderId="14" fillId="6" fontId="2" numFmtId="9" xfId="0" applyAlignment="1" applyBorder="1" applyFill="1" applyFont="1" applyNumberFormat="1">
      <alignment horizontal="center" vertical="center"/>
    </xf>
    <xf borderId="38" fillId="6" fontId="2" numFmtId="0" xfId="0" applyAlignment="1" applyBorder="1" applyFill="1" applyFont="1">
      <alignment horizontal="center" vertical="center"/>
    </xf>
    <xf borderId="10" fillId="6" fontId="2" numFmtId="171" xfId="0" applyAlignment="1" applyBorder="1" applyFill="1" applyFont="1" applyNumberFormat="1">
      <alignment horizontal="center"/>
    </xf>
    <xf borderId="12" fillId="6" fontId="2" numFmtId="171" xfId="0" applyAlignment="1" applyBorder="1" applyFill="1" applyFont="1" applyNumberFormat="1">
      <alignment horizontal="center"/>
    </xf>
    <xf borderId="14" fillId="6" fontId="2" numFmtId="171" xfId="0" applyAlignment="1" applyBorder="1" applyFill="1" applyFont="1" applyNumberFormat="1">
      <alignment horizontal="center"/>
    </xf>
    <xf borderId="0" fillId="0" fontId="2" numFmtId="0" xfId="0" applyAlignment="1" applyFont="1">
      <alignment shrinkToFit="0" vertical="top" wrapText="1"/>
    </xf>
    <xf borderId="25" fillId="2" fontId="1" numFmtId="0" xfId="0" applyAlignment="1" applyBorder="1" applyFill="1" applyFont="1">
      <alignment horizontal="center"/>
    </xf>
    <xf borderId="25" fillId="11" fontId="1" numFmtId="0" xfId="0" applyAlignment="1" applyBorder="1" applyFill="1" applyFont="1">
      <alignment horizontal="center"/>
    </xf>
    <xf borderId="1" fillId="7" fontId="1" numFmtId="0" xfId="0" applyBorder="1" applyFill="1" applyFont="1"/>
    <xf borderId="1" fillId="7" fontId="2" numFmtId="0" xfId="0" applyBorder="1" applyFill="1" applyFont="1"/>
    <xf borderId="1" fillId="11" fontId="1" numFmtId="0" xfId="0" applyAlignment="1" applyBorder="1" applyFill="1" applyFont="1">
      <alignment horizontal="center"/>
    </xf>
    <xf borderId="1" fillId="6" fontId="2" numFmtId="0" xfId="0" applyAlignment="1" applyBorder="1" applyFill="1" applyFont="1">
      <alignment horizontal="center"/>
    </xf>
    <xf borderId="1" fillId="8" fontId="2" numFmtId="1" xfId="0" applyAlignment="1" applyBorder="1" applyFill="1" applyFont="1" applyNumberFormat="1">
      <alignment horizontal="center"/>
    </xf>
    <xf borderId="1" fillId="6" fontId="2" numFmtId="9" xfId="0" applyAlignment="1" applyBorder="1" applyFill="1" applyFont="1" applyNumberFormat="1">
      <alignment horizontal="center"/>
    </xf>
    <xf borderId="2" fillId="2" fontId="1" numFmtId="0" xfId="0" applyAlignment="1" applyBorder="1" applyFill="1" applyFont="1">
      <alignment shrinkToFit="0" wrapText="1"/>
    </xf>
    <xf borderId="31" fillId="5" fontId="2" numFmtId="0" xfId="0" applyAlignment="1" applyBorder="1" applyFill="1" applyFont="1">
      <alignment shrinkToFit="0" wrapText="1"/>
    </xf>
    <xf borderId="1" fillId="8" fontId="2" numFmtId="0" xfId="0" applyBorder="1" applyFill="1" applyFont="1"/>
    <xf borderId="27" fillId="8" fontId="2" numFmtId="0" xfId="0" applyBorder="1" applyFill="1" applyFont="1"/>
    <xf borderId="10" fillId="5" fontId="2" numFmtId="0" xfId="0" applyAlignment="1" applyBorder="1" applyFill="1" applyFont="1">
      <alignment shrinkToFit="0" wrapText="1"/>
    </xf>
    <xf borderId="31" fillId="2" fontId="1" numFmtId="0" xfId="0" applyAlignment="1" applyBorder="1" applyFill="1" applyFont="1">
      <alignment shrinkToFit="0" vertical="center" wrapText="1"/>
    </xf>
    <xf borderId="27" fillId="2" fontId="2" numFmtId="0" xfId="0" applyBorder="1" applyFill="1" applyFont="1"/>
    <xf borderId="27" fillId="5" fontId="2" numFmtId="0" xfId="0" applyBorder="1" applyFill="1" applyFont="1"/>
    <xf borderId="31" fillId="6" fontId="13" numFmtId="164" xfId="0" applyAlignment="1" applyBorder="1" applyFill="1" applyFont="1" applyNumberFormat="1">
      <alignment horizontal="center"/>
    </xf>
    <xf borderId="1" fillId="6" fontId="13" numFmtId="164" xfId="0" applyAlignment="1" applyBorder="1" applyFill="1" applyFont="1" applyNumberFormat="1">
      <alignment horizontal="center"/>
    </xf>
    <xf borderId="27" fillId="6" fontId="13" numFmtId="164" xfId="0" applyAlignment="1" applyBorder="1" applyFill="1" applyFont="1" applyNumberFormat="1">
      <alignment horizontal="center"/>
    </xf>
    <xf borderId="14" fillId="5" fontId="2" numFmtId="0" xfId="0" applyBorder="1" applyFill="1" applyFont="1"/>
    <xf borderId="10" fillId="6" fontId="13" numFmtId="164" xfId="0" applyAlignment="1" applyBorder="1" applyFill="1" applyFont="1" applyNumberFormat="1">
      <alignment horizontal="center"/>
    </xf>
    <xf borderId="12" fillId="6" fontId="13" numFmtId="164" xfId="0" applyAlignment="1" applyBorder="1" applyFill="1" applyFont="1" applyNumberFormat="1">
      <alignment horizontal="center"/>
    </xf>
    <xf borderId="14" fillId="6" fontId="13" numFmtId="164" xfId="0" applyAlignment="1" applyBorder="1" applyFill="1" applyFont="1" applyNumberFormat="1">
      <alignment horizontal="center"/>
    </xf>
    <xf borderId="3" fillId="2" fontId="11" numFmtId="3" xfId="0" applyAlignment="1" applyBorder="1" applyFill="1" applyFont="1" applyNumberFormat="1">
      <alignment horizontal="center"/>
    </xf>
    <xf borderId="31" fillId="6" fontId="2" numFmtId="0" xfId="0" applyAlignment="1" applyBorder="1" applyFill="1" applyFont="1">
      <alignment shrinkToFit="0" wrapText="1"/>
    </xf>
    <xf borderId="12" fillId="5" fontId="2" numFmtId="0" xfId="0" applyBorder="1" applyFill="1" applyFont="1"/>
    <xf borderId="14" fillId="6" fontId="2" numFmtId="165" xfId="0" applyBorder="1" applyFill="1" applyFont="1" applyNumberFormat="1"/>
    <xf borderId="5" fillId="2" fontId="1" numFmtId="0" xfId="0" applyAlignment="1" applyBorder="1" applyFill="1" applyFont="1">
      <alignment shrinkToFit="0" vertical="center" wrapText="1"/>
    </xf>
    <xf borderId="9" fillId="2" fontId="1" numFmtId="0" xfId="0" applyAlignment="1" applyBorder="1" applyFill="1" applyFont="1">
      <alignment horizontal="center" shrinkToFit="0" vertical="center" wrapText="1"/>
    </xf>
    <xf borderId="24" fillId="5" fontId="2" numFmtId="0" xfId="0" applyAlignment="1" applyBorder="1" applyFill="1" applyFont="1">
      <alignment shrinkToFit="0" vertical="center" wrapText="1"/>
    </xf>
    <xf borderId="24" fillId="5" fontId="1" numFmtId="0" xfId="0" applyAlignment="1" applyBorder="1" applyFill="1" applyFont="1">
      <alignment shrinkToFit="0" wrapText="1"/>
    </xf>
    <xf borderId="24" fillId="6" fontId="2" numFmtId="1" xfId="0" applyAlignment="1" applyBorder="1" applyFill="1" applyFont="1" applyNumberFormat="1">
      <alignment horizontal="center"/>
    </xf>
    <xf borderId="31" fillId="5" fontId="1" numFmtId="0" xfId="0" applyBorder="1" applyFill="1" applyFont="1"/>
    <xf borderId="1" fillId="5" fontId="1" numFmtId="164" xfId="0" applyBorder="1" applyFill="1" applyFont="1" applyNumberFormat="1"/>
    <xf borderId="27" fillId="5" fontId="1" numFmtId="164" xfId="0" applyBorder="1" applyFill="1" applyFont="1" applyNumberFormat="1"/>
    <xf borderId="34" fillId="0" fontId="3" numFmtId="0" xfId="0" applyBorder="1" applyFont="1"/>
    <xf borderId="10" fillId="6" fontId="2" numFmtId="0" xfId="0" applyAlignment="1" applyBorder="1" applyFill="1" applyFont="1">
      <alignment horizontal="center"/>
    </xf>
    <xf borderId="12" fillId="6" fontId="2" numFmtId="0" xfId="0" applyAlignment="1" applyBorder="1" applyFill="1" applyFont="1">
      <alignment horizontal="center"/>
    </xf>
    <xf borderId="14" fillId="6" fontId="2" numFmtId="0" xfId="0" applyAlignment="1" applyBorder="1" applyFill="1" applyFont="1">
      <alignment horizontal="center"/>
    </xf>
    <xf borderId="10" fillId="6" fontId="2" numFmtId="166" xfId="0" applyAlignment="1" applyBorder="1" applyFill="1" applyFont="1" applyNumberFormat="1">
      <alignment horizontal="center"/>
    </xf>
    <xf borderId="0" fillId="0" fontId="2" numFmtId="171" xfId="0" applyAlignment="1" applyFont="1" applyNumberFormat="1">
      <alignment horizontal="center"/>
    </xf>
    <xf borderId="12" fillId="6" fontId="2" numFmtId="166" xfId="0" applyAlignment="1" applyBorder="1" applyFill="1" applyFont="1" applyNumberFormat="1">
      <alignment horizontal="center"/>
    </xf>
    <xf borderId="14" fillId="6" fontId="2" numFmtId="166" xfId="0" applyAlignment="1" applyBorder="1" applyFill="1" applyFont="1" applyNumberFormat="1">
      <alignment horizontal="center"/>
    </xf>
    <xf borderId="46" fillId="0" fontId="2" numFmtId="0" xfId="0" applyBorder="1" applyFont="1"/>
    <xf borderId="1" fillId="5" fontId="27" numFmtId="0" xfId="0" applyBorder="1" applyFill="1" applyFont="1"/>
    <xf borderId="31" fillId="6" fontId="2" numFmtId="2" xfId="0" applyAlignment="1" applyBorder="1" applyFill="1" applyFont="1" applyNumberFormat="1">
      <alignment horizontal="center" vertical="center"/>
    </xf>
    <xf borderId="1" fillId="6" fontId="2" numFmtId="2" xfId="0" applyAlignment="1" applyBorder="1" applyFill="1" applyFont="1" applyNumberFormat="1">
      <alignment horizontal="center" vertical="center"/>
    </xf>
    <xf borderId="27" fillId="6" fontId="2" numFmtId="2" xfId="0" applyAlignment="1" applyBorder="1" applyFill="1" applyFont="1" applyNumberFormat="1">
      <alignment horizontal="center" vertical="center"/>
    </xf>
    <xf borderId="0" fillId="0" fontId="25" numFmtId="0" xfId="0" applyAlignment="1" applyFont="1">
      <alignment shrinkToFit="0" vertical="top" wrapText="1"/>
    </xf>
    <xf borderId="24" fillId="5" fontId="2" numFmtId="0" xfId="0" applyAlignment="1" applyBorder="1" applyFill="1" applyFont="1">
      <alignment horizontal="center" shrinkToFit="0" wrapText="1"/>
    </xf>
    <xf borderId="31" fillId="5" fontId="2" numFmtId="9" xfId="0" applyAlignment="1" applyBorder="1" applyFill="1" applyFont="1" applyNumberFormat="1">
      <alignment horizontal="center" shrinkToFit="0" vertical="center" wrapText="1"/>
    </xf>
    <xf borderId="1" fillId="5" fontId="2" numFmtId="0" xfId="0" applyAlignment="1" applyBorder="1" applyFill="1" applyFont="1">
      <alignment horizontal="center" shrinkToFit="0" vertical="center" wrapText="1"/>
    </xf>
    <xf borderId="27" fillId="5" fontId="2" numFmtId="0" xfId="0" applyAlignment="1" applyBorder="1" applyFill="1" applyFont="1">
      <alignment horizontal="center" shrinkToFit="0" vertical="center" wrapText="1"/>
    </xf>
    <xf borderId="24" fillId="5" fontId="2" numFmtId="9" xfId="0" applyAlignment="1" applyBorder="1" applyFill="1" applyFont="1" applyNumberFormat="1">
      <alignment horizontal="center"/>
    </xf>
    <xf borderId="31" fillId="8" fontId="2" numFmtId="165" xfId="0" applyAlignment="1" applyBorder="1" applyFill="1" applyFont="1" applyNumberFormat="1">
      <alignment horizontal="center"/>
    </xf>
    <xf borderId="1" fillId="8" fontId="2" numFmtId="165" xfId="0" applyAlignment="1" applyBorder="1" applyFill="1" applyFont="1" applyNumberFormat="1">
      <alignment horizontal="center"/>
    </xf>
    <xf borderId="27" fillId="8" fontId="2" numFmtId="165" xfId="0" applyAlignment="1" applyBorder="1" applyFill="1" applyFont="1" applyNumberFormat="1">
      <alignment horizontal="center"/>
    </xf>
    <xf borderId="38" fillId="5" fontId="2" numFmtId="9" xfId="0" applyAlignment="1" applyBorder="1" applyFill="1" applyFont="1" applyNumberFormat="1">
      <alignment horizontal="center"/>
    </xf>
    <xf borderId="10" fillId="8" fontId="2" numFmtId="165" xfId="0" applyAlignment="1" applyBorder="1" applyFill="1" applyFont="1" applyNumberFormat="1">
      <alignment horizontal="center"/>
    </xf>
    <xf borderId="12" fillId="8" fontId="2" numFmtId="165" xfId="0" applyAlignment="1" applyBorder="1" applyFill="1" applyFont="1" applyNumberFormat="1">
      <alignment horizontal="center"/>
    </xf>
    <xf borderId="14" fillId="8" fontId="2" numFmtId="165" xfId="0" applyAlignment="1" applyBorder="1" applyFill="1" applyFont="1" applyNumberFormat="1">
      <alignment horizontal="center"/>
    </xf>
    <xf borderId="38" fillId="6" fontId="2" numFmtId="165" xfId="0" applyAlignment="1" applyBorder="1" applyFill="1" applyFont="1" applyNumberFormat="1">
      <alignment horizontal="center" vertical="center"/>
    </xf>
    <xf borderId="1" fillId="2" fontId="1" numFmtId="0" xfId="0" applyAlignment="1" applyBorder="1" applyFill="1" applyFont="1">
      <alignment horizontal="center" vertical="center"/>
    </xf>
    <xf borderId="10" fillId="6" fontId="2" numFmtId="2" xfId="0" applyAlignment="1" applyBorder="1" applyFill="1" applyFont="1" applyNumberFormat="1">
      <alignment horizontal="center" vertical="center"/>
    </xf>
    <xf borderId="1" fillId="8" fontId="2" numFmtId="9" xfId="0" applyAlignment="1" applyBorder="1" applyFill="1" applyFont="1" applyNumberFormat="1">
      <alignment horizontal="center" vertical="center"/>
    </xf>
    <xf borderId="12" fillId="6" fontId="2" numFmtId="2" xfId="0" applyAlignment="1" applyBorder="1" applyFill="1" applyFont="1" applyNumberFormat="1">
      <alignment horizontal="center" vertical="center"/>
    </xf>
    <xf borderId="14" fillId="6" fontId="2" numFmtId="2" xfId="0" applyAlignment="1" applyBorder="1" applyFill="1" applyFont="1" applyNumberFormat="1">
      <alignment horizontal="center" vertical="center"/>
    </xf>
    <xf borderId="1" fillId="6" fontId="1" numFmtId="165" xfId="0" applyAlignment="1" applyBorder="1" applyFill="1" applyFont="1" applyNumberFormat="1">
      <alignment horizontal="center" vertical="center"/>
    </xf>
    <xf borderId="0" fillId="0" fontId="2" numFmtId="0" xfId="0" applyAlignment="1" applyFont="1">
      <alignment horizontal="center" vertical="center"/>
    </xf>
    <xf borderId="1" fillId="6" fontId="2" numFmtId="10" xfId="0" applyAlignment="1" applyBorder="1" applyFill="1" applyFont="1" applyNumberFormat="1">
      <alignment horizontal="center" vertical="center"/>
    </xf>
    <xf borderId="10" fillId="6" fontId="2" numFmtId="164" xfId="0" applyAlignment="1" applyBorder="1" applyFill="1" applyFont="1" applyNumberFormat="1">
      <alignment horizontal="center" vertical="center"/>
    </xf>
    <xf borderId="12" fillId="6" fontId="2" numFmtId="164" xfId="0" applyAlignment="1" applyBorder="1" applyFill="1" applyFont="1" applyNumberFormat="1">
      <alignment horizontal="center" vertical="center"/>
    </xf>
    <xf borderId="14" fillId="6" fontId="2" numFmtId="164" xfId="0" applyAlignment="1" applyBorder="1" applyFill="1" applyFont="1" applyNumberFormat="1">
      <alignment horizontal="center" vertical="center"/>
    </xf>
    <xf borderId="10" fillId="6" fontId="2" numFmtId="3" xfId="0" applyAlignment="1" applyBorder="1" applyFill="1" applyFont="1" applyNumberFormat="1">
      <alignment horizontal="center" vertical="center"/>
    </xf>
    <xf borderId="12" fillId="6" fontId="2" numFmtId="3" xfId="0" applyAlignment="1" applyBorder="1" applyFill="1" applyFont="1" applyNumberFormat="1">
      <alignment horizontal="center" vertical="center"/>
    </xf>
    <xf borderId="38" fillId="6" fontId="2" numFmtId="164" xfId="0" applyAlignment="1" applyBorder="1" applyFill="1" applyFont="1" applyNumberFormat="1">
      <alignment horizontal="center" vertical="center"/>
    </xf>
    <xf borderId="38" fillId="6" fontId="2" numFmtId="1" xfId="0" applyAlignment="1" applyBorder="1" applyFill="1" applyFont="1" applyNumberFormat="1">
      <alignment horizontal="center"/>
    </xf>
    <xf borderId="38" fillId="6" fontId="2" numFmtId="49" xfId="0" applyAlignment="1" applyBorder="1" applyFill="1" applyFont="1" applyNumberFormat="1">
      <alignment horizontal="center" shrinkToFit="0" vertical="center" wrapText="1"/>
    </xf>
    <xf borderId="0" fillId="0" fontId="27" numFmtId="0" xfId="0" applyFont="1"/>
    <xf borderId="0" fillId="0" fontId="14" numFmtId="0" xfId="0" applyFont="1"/>
    <xf borderId="25" fillId="18" fontId="2" numFmtId="0" xfId="0" applyAlignment="1" applyBorder="1" applyFill="1" applyFont="1">
      <alignment shrinkToFit="0" wrapText="1"/>
    </xf>
    <xf borderId="2" fillId="2" fontId="1" numFmtId="0" xfId="0" applyAlignment="1" applyBorder="1" applyFill="1" applyFont="1">
      <alignment horizontal="center" vertical="center"/>
    </xf>
    <xf borderId="3" fillId="2" fontId="1" numFmtId="0" xfId="0" applyAlignment="1" applyBorder="1" applyFill="1" applyFont="1">
      <alignment horizontal="center" vertical="center"/>
    </xf>
    <xf borderId="4" fillId="2" fontId="1" numFmtId="0" xfId="0" applyAlignment="1" applyBorder="1" applyFill="1" applyFont="1">
      <alignment horizontal="center" vertical="center"/>
    </xf>
    <xf borderId="1" fillId="5" fontId="2" numFmtId="49" xfId="0" applyAlignment="1" applyBorder="1" applyFill="1" applyFont="1" applyNumberFormat="1">
      <alignment shrinkToFit="0" wrapText="1"/>
    </xf>
    <xf borderId="31" fillId="8" fontId="2" numFmtId="1" xfId="0" applyAlignment="1" applyBorder="1" applyFill="1" applyFont="1" applyNumberFormat="1">
      <alignment horizontal="center" vertical="center"/>
    </xf>
    <xf borderId="1" fillId="8" fontId="2" numFmtId="1" xfId="0" applyAlignment="1" applyBorder="1" applyFill="1" applyFont="1" applyNumberFormat="1">
      <alignment horizontal="center" vertical="center"/>
    </xf>
    <xf borderId="27" fillId="8" fontId="2" numFmtId="1" xfId="0" applyAlignment="1" applyBorder="1" applyFill="1" applyFont="1" applyNumberFormat="1">
      <alignment horizontal="center" vertical="center"/>
    </xf>
    <xf borderId="10" fillId="8" fontId="2" numFmtId="1" xfId="0" applyAlignment="1" applyBorder="1" applyFill="1" applyFont="1" applyNumberFormat="1">
      <alignment horizontal="center" vertical="center"/>
    </xf>
    <xf borderId="12" fillId="8" fontId="2" numFmtId="0" xfId="0" applyAlignment="1" applyBorder="1" applyFill="1" applyFont="1">
      <alignment horizontal="center" vertical="center"/>
    </xf>
    <xf borderId="14" fillId="8" fontId="2" numFmtId="1" xfId="0" applyAlignment="1" applyBorder="1" applyFill="1" applyFont="1" applyNumberFormat="1">
      <alignment horizontal="center" vertical="center"/>
    </xf>
    <xf borderId="12" fillId="8" fontId="2" numFmtId="1" xfId="0" applyAlignment="1" applyBorder="1" applyFill="1" applyFont="1" applyNumberFormat="1">
      <alignment horizontal="center" vertical="center"/>
    </xf>
    <xf borderId="0" fillId="0" fontId="2" numFmtId="1" xfId="0" applyAlignment="1" applyFont="1" applyNumberFormat="1">
      <alignment horizontal="center" vertical="center"/>
    </xf>
    <xf borderId="1" fillId="8" fontId="2" numFmtId="0" xfId="0" applyAlignment="1" applyBorder="1" applyFill="1" applyFont="1">
      <alignment horizontal="center" shrinkToFit="0" vertical="center" wrapText="1"/>
    </xf>
    <xf borderId="1" fillId="8" fontId="2" numFmtId="9" xfId="0" applyAlignment="1" applyBorder="1" applyFill="1" applyFont="1" applyNumberFormat="1">
      <alignment horizontal="center" shrinkToFit="0" vertical="center" wrapText="1"/>
    </xf>
    <xf borderId="2" fillId="5" fontId="11" numFmtId="3" xfId="0" applyAlignment="1" applyBorder="1" applyFill="1" applyFont="1" applyNumberFormat="1">
      <alignment horizontal="center"/>
    </xf>
    <xf borderId="3" fillId="5" fontId="1" numFmtId="0" xfId="0" applyAlignment="1" applyBorder="1" applyFill="1" applyFont="1">
      <alignment horizontal="center"/>
    </xf>
    <xf borderId="4" fillId="5" fontId="1" numFmtId="0" xfId="0" applyAlignment="1" applyBorder="1" applyFill="1" applyFont="1">
      <alignment horizontal="center"/>
    </xf>
    <xf borderId="10" fillId="8" fontId="2" numFmtId="9" xfId="0" applyAlignment="1" applyBorder="1" applyFill="1" applyFont="1" applyNumberFormat="1">
      <alignment horizontal="center"/>
    </xf>
    <xf borderId="12" fillId="8" fontId="2" numFmtId="9" xfId="0" applyAlignment="1" applyBorder="1" applyFill="1" applyFont="1" applyNumberFormat="1">
      <alignment horizontal="center"/>
    </xf>
    <xf borderId="14" fillId="8" fontId="2" numFmtId="9" xfId="0" applyAlignment="1" applyBorder="1" applyFill="1" applyFont="1" applyNumberFormat="1">
      <alignment horizontal="center"/>
    </xf>
    <xf borderId="1" fillId="2" fontId="1" numFmtId="49" xfId="0" applyAlignment="1" applyBorder="1" applyFill="1" applyFont="1" applyNumberFormat="1">
      <alignment shrinkToFit="0" vertical="center" wrapText="1"/>
    </xf>
    <xf borderId="2" fillId="2" fontId="1" numFmtId="49" xfId="0" applyAlignment="1" applyBorder="1" applyFill="1" applyFont="1" applyNumberFormat="1">
      <alignment shrinkToFit="0" wrapText="1"/>
    </xf>
    <xf borderId="3" fillId="2" fontId="1" numFmtId="1" xfId="0" applyBorder="1" applyFill="1" applyFont="1" applyNumberFormat="1"/>
    <xf borderId="4" fillId="2" fontId="1" numFmtId="1" xfId="0" applyBorder="1" applyFill="1" applyFont="1" applyNumberFormat="1"/>
    <xf borderId="2" fillId="2" fontId="1" numFmtId="1" xfId="0" applyBorder="1" applyFill="1" applyFont="1" applyNumberFormat="1"/>
    <xf borderId="31" fillId="6" fontId="2" numFmtId="10" xfId="0" applyBorder="1" applyFill="1" applyFont="1" applyNumberFormat="1"/>
    <xf borderId="1" fillId="5" fontId="1" numFmtId="49" xfId="0" applyAlignment="1" applyBorder="1" applyFill="1" applyFont="1" applyNumberFormat="1">
      <alignment shrinkToFit="0" wrapText="1"/>
    </xf>
    <xf borderId="31" fillId="5" fontId="1" numFmtId="3" xfId="0" applyAlignment="1" applyBorder="1" applyFill="1" applyFont="1" applyNumberFormat="1">
      <alignment horizontal="center"/>
    </xf>
    <xf borderId="27" fillId="5" fontId="1" numFmtId="0" xfId="0" applyAlignment="1" applyBorder="1" applyFill="1" applyFont="1">
      <alignment horizontal="center"/>
    </xf>
    <xf borderId="14" fillId="8" fontId="2" numFmtId="0" xfId="0" applyAlignment="1" applyBorder="1" applyFill="1" applyFont="1">
      <alignment horizontal="center" vertical="center"/>
    </xf>
    <xf borderId="27" fillId="2" fontId="1" numFmtId="49" xfId="0" applyAlignment="1" applyBorder="1" applyFill="1" applyFont="1" applyNumberFormat="1">
      <alignment shrinkToFit="0" wrapText="1"/>
    </xf>
    <xf borderId="27" fillId="5" fontId="2" numFmtId="49" xfId="0" applyAlignment="1" applyBorder="1" applyFill="1" applyFont="1" applyNumberFormat="1">
      <alignment shrinkToFit="0" wrapText="1"/>
    </xf>
    <xf borderId="31" fillId="8" fontId="2" numFmtId="0" xfId="0" applyAlignment="1" applyBorder="1" applyFill="1" applyFont="1">
      <alignment horizontal="center" shrinkToFit="0" vertical="center" wrapText="1"/>
    </xf>
    <xf borderId="10" fillId="8" fontId="2" numFmtId="9" xfId="0" applyAlignment="1" applyBorder="1" applyFill="1" applyFont="1" applyNumberFormat="1">
      <alignment horizontal="center" shrinkToFit="0" vertical="center" wrapText="1"/>
    </xf>
    <xf borderId="12" fillId="8" fontId="2" numFmtId="9" xfId="0" applyAlignment="1" applyBorder="1" applyFill="1" applyFont="1" applyNumberFormat="1">
      <alignment horizontal="center" vertical="center"/>
    </xf>
    <xf borderId="14" fillId="8" fontId="2" numFmtId="9" xfId="0" applyAlignment="1" applyBorder="1" applyFill="1" applyFont="1" applyNumberFormat="1">
      <alignment horizontal="center" vertical="center"/>
    </xf>
    <xf borderId="0" fillId="0" fontId="2" numFmtId="1" xfId="0" applyAlignment="1" applyFont="1" applyNumberFormat="1">
      <alignment horizontal="right" shrinkToFit="0" wrapText="1"/>
    </xf>
    <xf borderId="2" fillId="5" fontId="1" numFmtId="49" xfId="0" applyAlignment="1" applyBorder="1" applyFill="1" applyFont="1" applyNumberFormat="1">
      <alignment horizontal="center" shrinkToFit="0" wrapText="1"/>
    </xf>
    <xf borderId="3" fillId="5" fontId="1" numFmtId="1" xfId="0" applyAlignment="1" applyBorder="1" applyFill="1" applyFont="1" applyNumberFormat="1">
      <alignment horizontal="center"/>
    </xf>
    <xf borderId="4" fillId="5" fontId="1" numFmtId="10" xfId="0" applyAlignment="1" applyBorder="1" applyFill="1" applyFont="1" applyNumberFormat="1">
      <alignment horizontal="center"/>
    </xf>
    <xf borderId="0" fillId="0" fontId="1" numFmtId="1" xfId="0" applyFont="1" applyNumberFormat="1"/>
    <xf borderId="10" fillId="8" fontId="2" numFmtId="171" xfId="0" applyAlignment="1" applyBorder="1" applyFill="1" applyFont="1" applyNumberFormat="1">
      <alignment horizontal="center" shrinkToFit="0" wrapText="1"/>
    </xf>
    <xf borderId="12" fillId="8" fontId="2" numFmtId="171" xfId="0" applyAlignment="1" applyBorder="1" applyFill="1" applyFont="1" applyNumberFormat="1">
      <alignment horizontal="center"/>
    </xf>
    <xf borderId="14" fillId="8" fontId="2" numFmtId="171" xfId="0" applyAlignment="1" applyBorder="1" applyFill="1" applyFont="1" applyNumberFormat="1">
      <alignment horizontal="center"/>
    </xf>
    <xf borderId="0" fillId="0" fontId="1" numFmtId="49" xfId="0" applyAlignment="1" applyFont="1" applyNumberFormat="1">
      <alignment shrinkToFit="0" wrapText="1"/>
    </xf>
    <xf borderId="2" fillId="2" fontId="1" numFmtId="49" xfId="0" applyAlignment="1" applyBorder="1" applyFill="1" applyFont="1" applyNumberFormat="1">
      <alignment horizontal="center" shrinkToFit="0" wrapText="1"/>
    </xf>
    <xf borderId="3" fillId="2" fontId="1" numFmtId="1" xfId="0" applyAlignment="1" applyBorder="1" applyFill="1" applyFont="1" applyNumberFormat="1">
      <alignment horizontal="center"/>
    </xf>
    <xf borderId="4" fillId="2" fontId="1" numFmtId="1" xfId="0" applyAlignment="1" applyBorder="1" applyFill="1" applyFont="1" applyNumberFormat="1">
      <alignment horizontal="center"/>
    </xf>
    <xf borderId="31" fillId="6" fontId="2" numFmtId="165" xfId="0" applyAlignment="1" applyBorder="1" applyFill="1" applyFont="1" applyNumberFormat="1">
      <alignment horizontal="center"/>
    </xf>
    <xf borderId="1" fillId="6" fontId="2" numFmtId="165" xfId="0" applyAlignment="1" applyBorder="1" applyFill="1" applyFont="1" applyNumberFormat="1">
      <alignment horizontal="center"/>
    </xf>
    <xf borderId="31" fillId="5" fontId="11" numFmtId="3" xfId="0" applyAlignment="1" applyBorder="1" applyFill="1" applyFont="1" applyNumberFormat="1">
      <alignment horizontal="center"/>
    </xf>
    <xf borderId="1" fillId="5" fontId="11" numFmtId="3" xfId="0" applyAlignment="1" applyBorder="1" applyFill="1" applyFont="1" applyNumberFormat="1">
      <alignment horizontal="center"/>
    </xf>
    <xf borderId="36" fillId="0" fontId="13" numFmtId="3" xfId="0" applyAlignment="1" applyBorder="1" applyFont="1" applyNumberFormat="1">
      <alignment horizontal="center"/>
    </xf>
    <xf borderId="0" fillId="0" fontId="13" numFmtId="3" xfId="0" applyAlignment="1" applyFont="1" applyNumberFormat="1">
      <alignment horizontal="center"/>
    </xf>
    <xf borderId="2" fillId="2" fontId="13" numFmtId="3" xfId="0" applyAlignment="1" applyBorder="1" applyFill="1" applyFont="1" applyNumberFormat="1">
      <alignment horizontal="center"/>
    </xf>
    <xf borderId="2" fillId="5" fontId="1" numFmtId="164" xfId="0" applyAlignment="1" applyBorder="1" applyFill="1" applyFont="1" applyNumberFormat="1">
      <alignment horizontal="center"/>
    </xf>
    <xf borderId="3" fillId="5" fontId="1" numFmtId="164" xfId="0" applyAlignment="1" applyBorder="1" applyFill="1" applyFont="1" applyNumberFormat="1">
      <alignment horizontal="center"/>
    </xf>
    <xf borderId="4" fillId="5" fontId="1" numFmtId="164" xfId="0" applyAlignment="1" applyBorder="1" applyFill="1" applyFont="1" applyNumberFormat="1">
      <alignment horizontal="center"/>
    </xf>
    <xf borderId="10" fillId="6" fontId="2" numFmtId="4" xfId="0" applyAlignment="1" applyBorder="1" applyFill="1" applyFont="1" applyNumberFormat="1">
      <alignment horizontal="center" shrinkToFit="0" wrapText="1"/>
    </xf>
    <xf borderId="12" fillId="6" fontId="2" numFmtId="4" xfId="0" applyAlignment="1" applyBorder="1" applyFill="1" applyFont="1" applyNumberFormat="1">
      <alignment horizontal="center" shrinkToFit="0" wrapText="1"/>
    </xf>
    <xf borderId="14" fillId="6" fontId="2" numFmtId="4" xfId="0" applyAlignment="1" applyBorder="1" applyFill="1" applyFont="1" applyNumberFormat="1">
      <alignment horizontal="center" shrinkToFit="0" wrapText="1"/>
    </xf>
    <xf borderId="12" fillId="6" fontId="2" numFmtId="4" xfId="0" applyAlignment="1" applyBorder="1" applyFill="1" applyFont="1" applyNumberFormat="1">
      <alignment horizontal="center"/>
    </xf>
    <xf borderId="14" fillId="6" fontId="2" numFmtId="4" xfId="0" applyAlignment="1" applyBorder="1" applyFill="1" applyFont="1" applyNumberFormat="1">
      <alignment horizontal="center"/>
    </xf>
    <xf borderId="10" fillId="6" fontId="2" numFmtId="4" xfId="0" applyAlignment="1" applyBorder="1" applyFill="1" applyFont="1" applyNumberFormat="1">
      <alignment horizontal="center"/>
    </xf>
    <xf borderId="1" fillId="2" fontId="2" numFmtId="0" xfId="0" applyAlignment="1" applyBorder="1" applyFill="1" applyFont="1">
      <alignment horizontal="center" vertical="center"/>
    </xf>
    <xf borderId="1" fillId="2" fontId="2" numFmtId="0" xfId="0" applyAlignment="1" applyBorder="1" applyFill="1" applyFont="1">
      <alignment horizontal="center" shrinkToFit="0" vertical="center" wrapText="1"/>
    </xf>
    <xf borderId="1" fillId="5" fontId="2" numFmtId="171" xfId="0" applyAlignment="1" applyBorder="1" applyFill="1" applyFont="1" applyNumberFormat="1">
      <alignment horizontal="center" vertical="center"/>
    </xf>
    <xf borderId="1" fillId="5" fontId="2" numFmtId="0" xfId="0" applyAlignment="1" applyBorder="1" applyFill="1" applyFont="1">
      <alignment horizontal="center" vertical="center"/>
    </xf>
    <xf borderId="1" fillId="6" fontId="2" numFmtId="49" xfId="0" applyAlignment="1" applyBorder="1" applyFill="1" applyFont="1" applyNumberFormat="1">
      <alignment shrinkToFit="0" wrapText="1"/>
    </xf>
    <xf borderId="1" fillId="5" fontId="2" numFmtId="168" xfId="0" applyAlignment="1" applyBorder="1" applyFill="1" applyFont="1" applyNumberFormat="1">
      <alignment horizontal="center" vertical="center"/>
    </xf>
    <xf borderId="1" fillId="5" fontId="2" numFmtId="165" xfId="0" applyAlignment="1" applyBorder="1" applyFill="1" applyFont="1" applyNumberFormat="1">
      <alignment horizontal="center" vertical="center"/>
    </xf>
    <xf borderId="1" fillId="3" fontId="28" numFmtId="0" xfId="0" applyAlignment="1" applyBorder="1" applyFill="1" applyFont="1">
      <alignment shrinkToFit="0" wrapText="1"/>
    </xf>
    <xf borderId="1" fillId="3" fontId="22" numFmtId="0" xfId="0" applyBorder="1" applyFill="1" applyFont="1"/>
    <xf borderId="1" fillId="3" fontId="29" numFmtId="0" xfId="0" applyAlignment="1" applyBorder="1" applyFill="1" applyFont="1">
      <alignment shrinkToFit="0" wrapText="1"/>
    </xf>
    <xf borderId="1" fillId="3" fontId="28" numFmtId="0" xfId="0" applyBorder="1" applyFill="1" applyFont="1"/>
    <xf borderId="1" fillId="3" fontId="22" numFmtId="0" xfId="0" applyAlignment="1" applyBorder="1" applyFill="1" applyFont="1">
      <alignment shrinkToFit="0" wrapText="1"/>
    </xf>
    <xf borderId="35" fillId="0" fontId="28" numFmtId="0" xfId="0" applyBorder="1" applyFont="1"/>
    <xf borderId="36" fillId="0" fontId="28" numFmtId="0" xfId="0" applyAlignment="1" applyBorder="1" applyFont="1">
      <alignment horizontal="center"/>
    </xf>
    <xf borderId="36" fillId="0" fontId="28" numFmtId="0" xfId="0" applyAlignment="1" applyBorder="1" applyFont="1">
      <alignment horizontal="center" shrinkToFit="0" wrapText="1"/>
    </xf>
    <xf borderId="37" fillId="0" fontId="28" numFmtId="0" xfId="0" applyAlignment="1" applyBorder="1" applyFont="1">
      <alignment horizontal="center"/>
    </xf>
    <xf borderId="32" fillId="0" fontId="22" numFmtId="0" xfId="0" applyBorder="1" applyFont="1"/>
    <xf borderId="0" fillId="0" fontId="22" numFmtId="0" xfId="0" applyAlignment="1" applyFont="1">
      <alignment horizontal="center"/>
    </xf>
    <xf borderId="0" fillId="0" fontId="2" numFmtId="1" xfId="0" applyAlignment="1" applyFont="1" applyNumberFormat="1">
      <alignment shrinkToFit="0" wrapText="1"/>
    </xf>
    <xf borderId="0" fillId="0" fontId="22" numFmtId="168" xfId="0" applyAlignment="1" applyFont="1" applyNumberFormat="1">
      <alignment horizontal="center"/>
    </xf>
    <xf borderId="33" fillId="0" fontId="22" numFmtId="0" xfId="0" applyAlignment="1" applyBorder="1" applyFont="1">
      <alignment horizontal="center"/>
    </xf>
    <xf quotePrefix="1" borderId="32" fillId="0" fontId="22" numFmtId="0" xfId="0" applyBorder="1" applyFont="1"/>
    <xf borderId="33" fillId="0" fontId="22" numFmtId="165" xfId="0" applyAlignment="1" applyBorder="1" applyFont="1" applyNumberFormat="1">
      <alignment horizontal="center"/>
    </xf>
    <xf quotePrefix="1" borderId="32" fillId="0" fontId="22" numFmtId="0" xfId="0" applyAlignment="1" applyBorder="1" applyFont="1">
      <alignment shrinkToFit="0" wrapText="1"/>
    </xf>
    <xf quotePrefix="1" borderId="39" fillId="0" fontId="22" numFmtId="0" xfId="0" applyAlignment="1" applyBorder="1" applyFont="1">
      <alignment shrinkToFit="0" wrapText="1"/>
    </xf>
    <xf borderId="40" fillId="0" fontId="22" numFmtId="0" xfId="0" applyAlignment="1" applyBorder="1" applyFont="1">
      <alignment horizontal="center"/>
    </xf>
    <xf borderId="40" fillId="0" fontId="22" numFmtId="168" xfId="0" applyAlignment="1" applyBorder="1" applyFont="1" applyNumberFormat="1">
      <alignment horizontal="center"/>
    </xf>
    <xf borderId="41" fillId="0" fontId="22" numFmtId="165" xfId="0" applyAlignment="1" applyBorder="1" applyFont="1" applyNumberFormat="1">
      <alignment horizontal="center"/>
    </xf>
    <xf borderId="50" fillId="3" fontId="22" numFmtId="0" xfId="0" applyAlignment="1" applyBorder="1" applyFill="1" applyFont="1">
      <alignment shrinkToFit="0" vertical="top" wrapText="1"/>
    </xf>
    <xf borderId="32" fillId="0" fontId="22" numFmtId="0" xfId="0" applyAlignment="1" applyBorder="1" applyFont="1">
      <alignment shrinkToFit="0" wrapText="1"/>
    </xf>
    <xf borderId="0" fillId="0" fontId="22" numFmtId="171" xfId="0" applyAlignment="1" applyFont="1" applyNumberFormat="1">
      <alignment horizontal="center"/>
    </xf>
    <xf borderId="31" fillId="6" fontId="2" numFmtId="166" xfId="0" applyAlignment="1" applyBorder="1" applyFill="1" applyFont="1" applyNumberFormat="1">
      <alignment horizontal="center"/>
    </xf>
    <xf borderId="33" fillId="0" fontId="22" numFmtId="168" xfId="0" applyAlignment="1" applyBorder="1" applyFont="1" applyNumberFormat="1">
      <alignment horizontal="center"/>
    </xf>
    <xf borderId="1" fillId="6" fontId="2" numFmtId="166" xfId="0" applyAlignment="1" applyBorder="1" applyFill="1" applyFont="1" applyNumberFormat="1">
      <alignment horizontal="center"/>
    </xf>
    <xf borderId="27" fillId="6" fontId="2" numFmtId="166" xfId="0" applyAlignment="1" applyBorder="1" applyFill="1" applyFont="1" applyNumberFormat="1">
      <alignment horizontal="center"/>
    </xf>
    <xf borderId="39" fillId="0" fontId="22" numFmtId="0" xfId="0" applyAlignment="1" applyBorder="1" applyFont="1">
      <alignment shrinkToFit="0" wrapText="1"/>
    </xf>
    <xf borderId="40" fillId="0" fontId="22" numFmtId="171" xfId="0" applyAlignment="1" applyBorder="1" applyFont="1" applyNumberFormat="1">
      <alignment horizontal="center"/>
    </xf>
    <xf borderId="41" fillId="0" fontId="22" numFmtId="168" xfId="0" applyAlignment="1" applyBorder="1" applyFont="1" applyNumberFormat="1">
      <alignment horizontal="center"/>
    </xf>
    <xf borderId="1" fillId="3" fontId="2" numFmtId="0" xfId="0" applyAlignment="1" applyBorder="1" applyFill="1" applyFont="1">
      <alignment shrinkToFit="0" wrapText="1"/>
    </xf>
    <xf borderId="51" fillId="2" fontId="1" numFmtId="0" xfId="0" applyAlignment="1" applyBorder="1" applyFill="1" applyFont="1">
      <alignment shrinkToFit="0" wrapText="1"/>
    </xf>
    <xf borderId="52" fillId="2" fontId="2" numFmtId="0" xfId="0" applyBorder="1" applyFill="1" applyFont="1"/>
    <xf borderId="53" fillId="2" fontId="2" numFmtId="0" xfId="0" applyBorder="1" applyFill="1" applyFont="1"/>
    <xf borderId="54" fillId="0" fontId="2" numFmtId="0" xfId="0" applyAlignment="1" applyBorder="1" applyFont="1">
      <alignment shrinkToFit="0" wrapText="1"/>
    </xf>
    <xf borderId="55" fillId="0" fontId="2" numFmtId="0" xfId="0" applyBorder="1" applyFont="1"/>
    <xf borderId="56" fillId="8" fontId="2" numFmtId="0" xfId="0" applyBorder="1" applyFill="1" applyFont="1"/>
    <xf borderId="56" fillId="8" fontId="2" numFmtId="0" xfId="0" applyAlignment="1" applyBorder="1" applyFill="1" applyFont="1">
      <alignment shrinkToFit="0" wrapText="1"/>
    </xf>
    <xf borderId="54" fillId="0" fontId="2" numFmtId="0" xfId="0" applyBorder="1" applyFont="1"/>
    <xf borderId="56" fillId="5" fontId="1" numFmtId="0" xfId="0" applyBorder="1" applyFill="1" applyFont="1"/>
    <xf borderId="56" fillId="5" fontId="2" numFmtId="0" xfId="0" applyBorder="1" applyFill="1" applyFont="1"/>
    <xf borderId="1" fillId="2" fontId="1" numFmtId="2" xfId="0" applyAlignment="1" applyBorder="1" applyFill="1" applyFont="1" applyNumberFormat="1">
      <alignment shrinkToFit="0" wrapText="1"/>
    </xf>
    <xf borderId="3" fillId="2" fontId="1" numFmtId="171" xfId="0" applyBorder="1" applyFill="1" applyFont="1" applyNumberFormat="1"/>
    <xf borderId="4" fillId="2" fontId="1" numFmtId="171" xfId="0" applyBorder="1" applyFill="1" applyFont="1" applyNumberFormat="1"/>
    <xf borderId="1" fillId="6" fontId="2" numFmtId="2" xfId="0" applyBorder="1" applyFill="1" applyFont="1" applyNumberFormat="1"/>
    <xf borderId="31" fillId="2" fontId="1" numFmtId="0" xfId="0" applyAlignment="1" applyBorder="1" applyFill="1" applyFont="1">
      <alignment horizontal="center" shrinkToFit="0" wrapText="1"/>
    </xf>
    <xf borderId="1" fillId="2" fontId="1" numFmtId="9" xfId="0" applyAlignment="1" applyBorder="1" applyFill="1" applyFont="1" applyNumberFormat="1">
      <alignment horizontal="center" shrinkToFit="0" wrapText="1"/>
    </xf>
    <xf borderId="1" fillId="2" fontId="1" numFmtId="171" xfId="0" applyAlignment="1" applyBorder="1" applyFill="1" applyFont="1" applyNumberFormat="1">
      <alignment horizontal="center" shrinkToFit="0" wrapText="1"/>
    </xf>
    <xf borderId="56" fillId="5" fontId="2" numFmtId="0" xfId="0" applyAlignment="1" applyBorder="1" applyFill="1" applyFont="1">
      <alignment shrinkToFit="0" wrapText="1"/>
    </xf>
    <xf borderId="27" fillId="2" fontId="1" numFmtId="171" xfId="0" applyAlignment="1" applyBorder="1" applyFill="1" applyFont="1" applyNumberFormat="1">
      <alignment horizontal="center" shrinkToFit="0" wrapText="1"/>
    </xf>
    <xf borderId="27" fillId="2" fontId="1" numFmtId="9" xfId="0" applyAlignment="1" applyBorder="1" applyFill="1" applyFont="1" applyNumberFormat="1">
      <alignment horizontal="center" shrinkToFit="0" wrapText="1"/>
    </xf>
    <xf borderId="24" fillId="2" fontId="1" numFmtId="171" xfId="0" applyAlignment="1" applyBorder="1" applyFill="1" applyFont="1" applyNumberFormat="1">
      <alignment horizontal="center" shrinkToFit="0" wrapText="1"/>
    </xf>
    <xf borderId="31" fillId="8" fontId="2" numFmtId="3" xfId="0" applyAlignment="1" applyBorder="1" applyFill="1" applyFont="1" applyNumberFormat="1">
      <alignment horizontal="center"/>
    </xf>
    <xf borderId="1" fillId="8" fontId="2" numFmtId="171" xfId="0" applyAlignment="1" applyBorder="1" applyFill="1" applyFont="1" applyNumberFormat="1">
      <alignment horizontal="center"/>
    </xf>
    <xf borderId="27" fillId="8" fontId="2" numFmtId="171" xfId="0" applyAlignment="1" applyBorder="1" applyFill="1" applyFont="1" applyNumberFormat="1">
      <alignment horizontal="center"/>
    </xf>
    <xf borderId="27" fillId="8" fontId="2" numFmtId="1" xfId="0" applyAlignment="1" applyBorder="1" applyFill="1" applyFont="1" applyNumberFormat="1">
      <alignment horizontal="center"/>
    </xf>
    <xf borderId="24" fillId="8" fontId="2" numFmtId="9" xfId="0" applyAlignment="1" applyBorder="1" applyFill="1" applyFont="1" applyNumberFormat="1">
      <alignment horizontal="center"/>
    </xf>
    <xf borderId="24" fillId="8" fontId="2" numFmtId="165" xfId="0" applyAlignment="1" applyBorder="1" applyFill="1" applyFont="1" applyNumberFormat="1">
      <alignment horizontal="center"/>
    </xf>
    <xf borderId="10" fillId="8" fontId="2" numFmtId="3" xfId="0" applyAlignment="1" applyBorder="1" applyFill="1" applyFont="1" applyNumberFormat="1">
      <alignment horizontal="center"/>
    </xf>
    <xf borderId="12" fillId="8" fontId="2" numFmtId="1" xfId="0" applyAlignment="1" applyBorder="1" applyFill="1" applyFont="1" applyNumberFormat="1">
      <alignment horizontal="center"/>
    </xf>
    <xf borderId="12" fillId="8" fontId="2" numFmtId="0" xfId="0" applyAlignment="1" applyBorder="1" applyFill="1" applyFont="1">
      <alignment horizontal="center"/>
    </xf>
    <xf borderId="14" fillId="8" fontId="2" numFmtId="0" xfId="0" applyAlignment="1" applyBorder="1" applyFill="1" applyFont="1">
      <alignment horizontal="center"/>
    </xf>
    <xf borderId="14" fillId="8" fontId="2" numFmtId="1" xfId="0" applyAlignment="1" applyBorder="1" applyFill="1" applyFont="1" applyNumberFormat="1">
      <alignment horizontal="center"/>
    </xf>
    <xf borderId="1" fillId="6" fontId="1" numFmtId="171" xfId="0" applyBorder="1" applyFill="1" applyFont="1" applyNumberFormat="1"/>
    <xf borderId="10" fillId="8" fontId="2" numFmtId="1" xfId="0" applyAlignment="1" applyBorder="1" applyFill="1" applyFont="1" applyNumberFormat="1">
      <alignment horizontal="center"/>
    </xf>
    <xf borderId="56" fillId="5" fontId="1" numFmtId="0" xfId="0" applyAlignment="1" applyBorder="1" applyFill="1" applyFont="1">
      <alignment shrinkToFit="0" wrapText="1"/>
    </xf>
    <xf borderId="57" fillId="2" fontId="1" numFmtId="0" xfId="0" applyAlignment="1" applyBorder="1" applyFill="1" applyFont="1">
      <alignment horizontal="center" shrinkToFit="0" wrapText="1"/>
    </xf>
    <xf borderId="43" fillId="2" fontId="1" numFmtId="0" xfId="0" applyAlignment="1" applyBorder="1" applyFill="1" applyFont="1">
      <alignment shrinkToFit="0" wrapText="1"/>
    </xf>
    <xf borderId="31" fillId="2" fontId="1" numFmtId="0" xfId="0" applyAlignment="1" applyBorder="1" applyFill="1" applyFont="1">
      <alignment horizontal="center"/>
    </xf>
    <xf borderId="58" fillId="0" fontId="3" numFmtId="0" xfId="0" applyBorder="1" applyFont="1"/>
    <xf borderId="59" fillId="5" fontId="2" numFmtId="0" xfId="0" applyBorder="1" applyFill="1" applyFont="1"/>
    <xf borderId="60" fillId="6" fontId="2" numFmtId="171" xfId="0" applyBorder="1" applyFill="1" applyFont="1" applyNumberFormat="1"/>
    <xf borderId="60" fillId="6" fontId="1" numFmtId="171" xfId="0" applyBorder="1" applyFill="1" applyFont="1" applyNumberFormat="1"/>
    <xf borderId="61" fillId="0" fontId="2" numFmtId="0" xfId="0" applyBorder="1" applyFont="1"/>
    <xf borderId="2" fillId="5" fontId="2" numFmtId="0" xfId="0" applyBorder="1" applyFill="1" applyFont="1"/>
    <xf borderId="3" fillId="5" fontId="2" numFmtId="0" xfId="0" applyAlignment="1" applyBorder="1" applyFill="1" applyFont="1">
      <alignment shrinkToFit="0" wrapText="1"/>
    </xf>
    <xf borderId="4" fillId="5" fontId="2" numFmtId="0" xfId="0" applyAlignment="1" applyBorder="1" applyFill="1" applyFont="1">
      <alignment shrinkToFit="0" wrapText="1"/>
    </xf>
    <xf borderId="31" fillId="5" fontId="2" numFmtId="0" xfId="0" applyBorder="1" applyFill="1" applyFont="1"/>
    <xf borderId="27" fillId="8" fontId="2" numFmtId="9" xfId="0" applyBorder="1" applyFill="1" applyFont="1" applyNumberFormat="1"/>
    <xf borderId="0" fillId="0" fontId="15" numFmtId="165" xfId="0" applyFont="1" applyNumberFormat="1"/>
    <xf borderId="10" fillId="5" fontId="2" numFmtId="0" xfId="0" applyBorder="1" applyFill="1" applyFont="1"/>
    <xf borderId="12" fillId="6" fontId="2" numFmtId="2" xfId="0" applyBorder="1" applyFill="1" applyFont="1" applyNumberFormat="1"/>
    <xf borderId="14" fillId="8" fontId="2" numFmtId="9" xfId="0" applyBorder="1" applyFill="1" applyFont="1" applyNumberFormat="1"/>
    <xf borderId="0" fillId="0" fontId="2" numFmtId="2" xfId="0" applyFont="1" applyNumberFormat="1"/>
    <xf borderId="1" fillId="6" fontId="2" numFmtId="10" xfId="0" applyBorder="1" applyFill="1" applyFont="1" applyNumberFormat="1"/>
    <xf borderId="27" fillId="6" fontId="2" numFmtId="10" xfId="0" applyBorder="1" applyFill="1" applyFont="1" applyNumberFormat="1"/>
    <xf borderId="12" fillId="6" fontId="2" numFmtId="10" xfId="0" applyBorder="1" applyFill="1" applyFont="1" applyNumberFormat="1"/>
    <xf borderId="14" fillId="6" fontId="2" numFmtId="10" xfId="0" applyBorder="1" applyFill="1" applyFont="1" applyNumberFormat="1"/>
    <xf borderId="1" fillId="8" fontId="2" numFmtId="9" xfId="0" applyBorder="1" applyFill="1" applyFont="1" applyNumberFormat="1"/>
    <xf borderId="2" fillId="7" fontId="2" numFmtId="0" xfId="0" applyAlignment="1" applyBorder="1" applyFill="1" applyFont="1">
      <alignment shrinkToFit="0" wrapText="1"/>
    </xf>
    <xf borderId="3" fillId="7" fontId="2" numFmtId="0" xfId="0" applyAlignment="1" applyBorder="1" applyFill="1" applyFont="1">
      <alignment shrinkToFit="0" wrapText="1"/>
    </xf>
    <xf borderId="3" fillId="7" fontId="2" numFmtId="0" xfId="0" applyAlignment="1" applyBorder="1" applyFill="1" applyFont="1">
      <alignment horizontal="center" shrinkToFit="0" wrapText="1"/>
    </xf>
    <xf borderId="12" fillId="8" fontId="2" numFmtId="9" xfId="0" applyBorder="1" applyFill="1" applyFont="1" applyNumberFormat="1"/>
    <xf borderId="4" fillId="7" fontId="2" numFmtId="0" xfId="0" applyAlignment="1" applyBorder="1" applyFill="1" applyFont="1">
      <alignment shrinkToFit="0" wrapText="1"/>
    </xf>
    <xf borderId="28" fillId="5" fontId="2" numFmtId="0" xfId="0" applyAlignment="1" applyBorder="1" applyFill="1" applyFont="1">
      <alignment shrinkToFit="0" wrapText="1"/>
    </xf>
    <xf borderId="31" fillId="3" fontId="2" numFmtId="0" xfId="0" applyAlignment="1" applyBorder="1" applyFill="1" applyFont="1">
      <alignment shrinkToFit="0" wrapText="1"/>
    </xf>
    <xf borderId="1" fillId="19" fontId="2" numFmtId="0" xfId="0" applyAlignment="1" applyBorder="1" applyFill="1" applyFont="1">
      <alignment horizontal="center"/>
    </xf>
    <xf borderId="1" fillId="19" fontId="2" numFmtId="165" xfId="0" applyAlignment="1" applyBorder="1" applyFill="1" applyFont="1" applyNumberFormat="1">
      <alignment horizontal="center"/>
    </xf>
    <xf borderId="27" fillId="19" fontId="2" numFmtId="0" xfId="0" applyBorder="1" applyFill="1" applyFont="1"/>
    <xf borderId="12" fillId="19" fontId="2" numFmtId="0" xfId="0" applyAlignment="1" applyBorder="1" applyFill="1" applyFont="1">
      <alignment horizontal="center"/>
    </xf>
    <xf borderId="12" fillId="19" fontId="2" numFmtId="0" xfId="0" applyBorder="1" applyFill="1" applyFont="1"/>
    <xf borderId="14" fillId="19" fontId="2" numFmtId="0" xfId="0" applyBorder="1" applyFill="1" applyFont="1"/>
    <xf borderId="27" fillId="5" fontId="1" numFmtId="0" xfId="0" applyBorder="1" applyFill="1" applyFont="1"/>
    <xf borderId="31" fillId="6" fontId="2" numFmtId="3" xfId="0" applyBorder="1" applyFill="1" applyFont="1" applyNumberFormat="1"/>
    <xf borderId="14" fillId="6" fontId="2" numFmtId="165" xfId="0" applyAlignment="1" applyBorder="1" applyFill="1" applyFont="1" applyNumberFormat="1">
      <alignment horizontal="center"/>
    </xf>
    <xf borderId="1" fillId="6" fontId="2" numFmtId="3" xfId="0" applyBorder="1" applyFill="1" applyFont="1" applyNumberFormat="1"/>
    <xf borderId="3" fillId="2" fontId="1" numFmtId="0" xfId="0" applyAlignment="1" applyBorder="1" applyFill="1" applyFont="1">
      <alignment shrinkToFit="0" vertical="center" wrapText="1"/>
    </xf>
    <xf borderId="38" fillId="6" fontId="2" numFmtId="165" xfId="0" applyAlignment="1" applyBorder="1" applyFill="1" applyFont="1" applyNumberFormat="1">
      <alignment horizontal="center"/>
    </xf>
    <xf borderId="5" fillId="5" fontId="2" numFmtId="0" xfId="0" applyAlignment="1" applyBorder="1" applyFill="1" applyFont="1">
      <alignment shrinkToFit="0" vertical="center" wrapText="1"/>
    </xf>
    <xf borderId="0" fillId="0" fontId="2" numFmtId="173" xfId="0" applyFont="1" applyNumberFormat="1"/>
    <xf borderId="27" fillId="6" fontId="2" numFmtId="3" xfId="0" applyBorder="1" applyFill="1" applyFont="1" applyNumberFormat="1"/>
    <xf borderId="10" fillId="8" fontId="2" numFmtId="9" xfId="0" applyBorder="1" applyFill="1" applyFont="1" applyNumberFormat="1"/>
    <xf borderId="2" fillId="6" fontId="13" numFmtId="164" xfId="0" applyAlignment="1" applyBorder="1" applyFill="1" applyFont="1" applyNumberFormat="1">
      <alignment horizontal="center"/>
    </xf>
    <xf borderId="31" fillId="2" fontId="1" numFmtId="0" xfId="0" applyAlignment="1" applyBorder="1" applyFill="1" applyFont="1">
      <alignment shrinkToFit="0" wrapText="1"/>
    </xf>
    <xf borderId="3" fillId="6" fontId="13" numFmtId="164" xfId="0" applyAlignment="1" applyBorder="1" applyFill="1" applyFont="1" applyNumberFormat="1">
      <alignment horizontal="center"/>
    </xf>
    <xf borderId="4" fillId="6" fontId="13" numFmtId="164" xfId="0" applyAlignment="1" applyBorder="1" applyFill="1" applyFont="1" applyNumberFormat="1">
      <alignment horizontal="center"/>
    </xf>
    <xf borderId="31" fillId="6" fontId="2" numFmtId="165" xfId="0" applyBorder="1" applyFill="1" applyFont="1" applyNumberFormat="1"/>
    <xf borderId="27" fillId="6" fontId="2" numFmtId="165" xfId="0" applyBorder="1" applyFill="1" applyFont="1" applyNumberFormat="1"/>
    <xf borderId="10" fillId="6" fontId="2" numFmtId="3" xfId="0" applyBorder="1" applyFill="1" applyFont="1" applyNumberFormat="1"/>
    <xf borderId="12" fillId="6" fontId="2" numFmtId="3" xfId="0" applyBorder="1" applyFill="1" applyFont="1" applyNumberFormat="1"/>
    <xf borderId="24" fillId="5" fontId="2" numFmtId="0" xfId="0" applyAlignment="1" applyBorder="1" applyFill="1" applyFont="1">
      <alignment shrinkToFit="0" wrapText="1"/>
    </xf>
    <xf borderId="14" fillId="6" fontId="2" numFmtId="3" xfId="0" applyBorder="1" applyFill="1" applyFont="1" applyNumberFormat="1"/>
    <xf borderId="2" fillId="5" fontId="1" numFmtId="0" xfId="0" applyAlignment="1" applyBorder="1" applyFill="1" applyFont="1">
      <alignment shrinkToFit="0" wrapText="1"/>
    </xf>
    <xf borderId="0" fillId="0" fontId="17" numFmtId="9" xfId="0" applyAlignment="1" applyFont="1" applyNumberFormat="1">
      <alignment horizontal="center"/>
    </xf>
    <xf borderId="0" fillId="0" fontId="17" numFmtId="0" xfId="0" applyFont="1"/>
    <xf borderId="31" fillId="6" fontId="2" numFmtId="174" xfId="0" applyBorder="1" applyFill="1" applyFont="1" applyNumberFormat="1"/>
    <xf borderId="1" fillId="6" fontId="2" numFmtId="174" xfId="0" applyBorder="1" applyFill="1" applyFont="1" applyNumberFormat="1"/>
    <xf borderId="27" fillId="6" fontId="2" numFmtId="174" xfId="0" applyBorder="1" applyFill="1" applyFont="1" applyNumberFormat="1"/>
    <xf borderId="0" fillId="0" fontId="2" numFmtId="174" xfId="0" applyFont="1" applyNumberFormat="1"/>
    <xf borderId="38" fillId="5" fontId="2" numFmtId="0" xfId="0" applyAlignment="1" applyBorder="1" applyFill="1" applyFont="1">
      <alignment shrinkToFit="0" wrapText="1"/>
    </xf>
    <xf borderId="10" fillId="6" fontId="2" numFmtId="165" xfId="0" applyBorder="1" applyFill="1" applyFont="1" applyNumberFormat="1"/>
    <xf borderId="0" fillId="0" fontId="13" numFmtId="1" xfId="0" applyAlignment="1" applyFont="1" applyNumberFormat="1">
      <alignment horizontal="center"/>
    </xf>
    <xf borderId="2" fillId="2" fontId="2" numFmtId="0" xfId="0" applyAlignment="1" applyBorder="1" applyFill="1" applyFont="1">
      <alignment shrinkToFit="0" wrapText="1"/>
    </xf>
    <xf borderId="10" fillId="6" fontId="2" numFmtId="174" xfId="0" applyBorder="1" applyFill="1" applyFont="1" applyNumberFormat="1"/>
    <xf borderId="12" fillId="6" fontId="2" numFmtId="174" xfId="0" applyBorder="1" applyFill="1" applyFont="1" applyNumberFormat="1"/>
    <xf borderId="31" fillId="6" fontId="2" numFmtId="9" xfId="0" applyAlignment="1" applyBorder="1" applyFill="1" applyFont="1" applyNumberFormat="1">
      <alignment horizontal="center"/>
    </xf>
    <xf borderId="27" fillId="6" fontId="2" numFmtId="9" xfId="0" applyAlignment="1" applyBorder="1" applyFill="1" applyFont="1" applyNumberFormat="1">
      <alignment horizontal="center"/>
    </xf>
    <xf borderId="14" fillId="6" fontId="2" numFmtId="174" xfId="0" applyBorder="1" applyFill="1" applyFont="1" applyNumberFormat="1"/>
    <xf borderId="10" fillId="5" fontId="1" numFmtId="0" xfId="0" applyAlignment="1" applyBorder="1" applyFill="1" applyFont="1">
      <alignment shrinkToFit="0" wrapText="1"/>
    </xf>
    <xf borderId="10" fillId="6" fontId="2" numFmtId="9" xfId="0" applyAlignment="1" applyBorder="1" applyFill="1" applyFont="1" applyNumberFormat="1">
      <alignment horizontal="center"/>
    </xf>
    <xf borderId="12" fillId="6" fontId="2" numFmtId="9" xfId="0" applyAlignment="1" applyBorder="1" applyFill="1" applyFont="1" applyNumberFormat="1">
      <alignment horizontal="center"/>
    </xf>
    <xf borderId="28" fillId="2" fontId="1" numFmtId="0" xfId="0" applyAlignment="1" applyBorder="1" applyFill="1" applyFont="1">
      <alignment shrinkToFit="0" wrapText="1"/>
    </xf>
    <xf borderId="29" fillId="2" fontId="1" numFmtId="0" xfId="0" applyAlignment="1" applyBorder="1" applyFill="1" applyFont="1">
      <alignment horizontal="center"/>
    </xf>
    <xf borderId="30" fillId="2" fontId="1" numFmtId="0" xfId="0" applyAlignment="1" applyBorder="1" applyFill="1" applyFont="1">
      <alignment horizontal="center"/>
    </xf>
    <xf borderId="2" fillId="5" fontId="2" numFmtId="0" xfId="0" applyAlignment="1" applyBorder="1" applyFill="1" applyFont="1">
      <alignment shrinkToFit="0" wrapText="1"/>
    </xf>
    <xf borderId="3" fillId="5" fontId="2" numFmtId="0" xfId="0" applyAlignment="1" applyBorder="1" applyFill="1" applyFont="1">
      <alignment horizontal="center"/>
    </xf>
    <xf borderId="3" fillId="5" fontId="2" numFmtId="165" xfId="0" applyAlignment="1" applyBorder="1" applyFill="1" applyFont="1" applyNumberFormat="1">
      <alignment horizontal="center"/>
    </xf>
    <xf borderId="4" fillId="5" fontId="2" numFmtId="165" xfId="0" applyAlignment="1" applyBorder="1" applyFill="1" applyFont="1" applyNumberFormat="1">
      <alignment horizontal="center"/>
    </xf>
    <xf borderId="1" fillId="5" fontId="2" numFmtId="0" xfId="0" applyAlignment="1" applyBorder="1" applyFill="1" applyFont="1">
      <alignment horizontal="center"/>
    </xf>
    <xf borderId="31" fillId="5" fontId="1" numFmtId="0" xfId="0" applyAlignment="1" applyBorder="1" applyFill="1" applyFont="1">
      <alignment shrinkToFit="0" wrapText="1"/>
    </xf>
    <xf borderId="1" fillId="5" fontId="2" numFmtId="165" xfId="0" applyAlignment="1" applyBorder="1" applyFill="1" applyFont="1" applyNumberFormat="1">
      <alignment horizontal="center"/>
    </xf>
    <xf borderId="27" fillId="5" fontId="2" numFmtId="165" xfId="0" applyAlignment="1" applyBorder="1" applyFill="1" applyFont="1" applyNumberFormat="1">
      <alignment horizontal="center"/>
    </xf>
    <xf borderId="1" fillId="5" fontId="2" numFmtId="9" xfId="0" applyAlignment="1" applyBorder="1" applyFill="1" applyFont="1" applyNumberFormat="1">
      <alignment horizontal="center"/>
    </xf>
    <xf borderId="27" fillId="5" fontId="2" numFmtId="0" xfId="0" applyAlignment="1" applyBorder="1" applyFill="1" applyFont="1">
      <alignment horizontal="center"/>
    </xf>
    <xf borderId="32" fillId="0" fontId="2" numFmtId="1" xfId="0" applyBorder="1" applyFont="1" applyNumberFormat="1"/>
    <xf borderId="12" fillId="5" fontId="2" numFmtId="165" xfId="0" applyAlignment="1" applyBorder="1" applyFill="1" applyFont="1" applyNumberFormat="1">
      <alignment horizontal="center"/>
    </xf>
    <xf borderId="33" fillId="0" fontId="2" numFmtId="1" xfId="0" applyBorder="1" applyFont="1" applyNumberFormat="1"/>
    <xf borderId="28" fillId="2" fontId="1" numFmtId="0" xfId="0" applyAlignment="1" applyBorder="1" applyFill="1" applyFont="1">
      <alignment shrinkToFit="0" vertical="center" wrapText="1"/>
    </xf>
    <xf borderId="29" fillId="2" fontId="1" numFmtId="0" xfId="0" applyAlignment="1" applyBorder="1" applyFill="1" applyFont="1">
      <alignment shrinkToFit="0" vertical="center" wrapText="1"/>
    </xf>
    <xf borderId="2" fillId="8" fontId="2" numFmtId="165" xfId="0" applyAlignment="1" applyBorder="1" applyFill="1" applyFont="1" applyNumberFormat="1">
      <alignment horizontal="center"/>
    </xf>
    <xf borderId="3" fillId="8" fontId="2" numFmtId="9" xfId="0" applyAlignment="1" applyBorder="1" applyFill="1" applyFont="1" applyNumberFormat="1">
      <alignment horizontal="center"/>
    </xf>
    <xf borderId="4" fillId="8" fontId="2" numFmtId="165" xfId="0" applyAlignment="1" applyBorder="1" applyFill="1" applyFont="1" applyNumberFormat="1">
      <alignment horizontal="center"/>
    </xf>
    <xf borderId="10" fillId="5" fontId="27" numFmtId="0" xfId="0" applyAlignment="1" applyBorder="1" applyFill="1" applyFont="1">
      <alignment shrinkToFit="0" wrapText="1"/>
    </xf>
    <xf borderId="39" fillId="0" fontId="2" numFmtId="1" xfId="0" applyBorder="1" applyFont="1" applyNumberFormat="1"/>
    <xf borderId="12" fillId="5" fontId="2" numFmtId="0" xfId="0" applyAlignment="1" applyBorder="1" applyFill="1" applyFont="1">
      <alignment shrinkToFit="0" wrapText="1"/>
    </xf>
    <xf borderId="40" fillId="0" fontId="2" numFmtId="1" xfId="0" applyBorder="1" applyFont="1" applyNumberFormat="1"/>
    <xf borderId="41" fillId="0" fontId="2" numFmtId="1" xfId="0" applyBorder="1" applyFont="1" applyNumberFormat="1"/>
    <xf borderId="41" fillId="0" fontId="2" numFmtId="0" xfId="0" applyBorder="1" applyFont="1"/>
    <xf borderId="31" fillId="2" fontId="11" numFmtId="166" xfId="0" applyAlignment="1" applyBorder="1" applyFill="1" applyFont="1" applyNumberFormat="1">
      <alignment horizontal="center"/>
    </xf>
    <xf borderId="1" fillId="2" fontId="1" numFmtId="166" xfId="0" applyAlignment="1" applyBorder="1" applyFill="1" applyFont="1" applyNumberFormat="1">
      <alignment horizontal="center"/>
    </xf>
    <xf borderId="27" fillId="2" fontId="1" numFmtId="166" xfId="0" applyAlignment="1" applyBorder="1" applyFill="1" applyFont="1" applyNumberFormat="1">
      <alignment horizontal="center"/>
    </xf>
    <xf borderId="3" fillId="5" fontId="2" numFmtId="0" xfId="0" applyBorder="1" applyFill="1" applyFont="1"/>
    <xf borderId="2" fillId="6" fontId="2" numFmtId="166" xfId="0" applyAlignment="1" applyBorder="1" applyFill="1" applyFont="1" applyNumberFormat="1">
      <alignment horizontal="center"/>
    </xf>
    <xf borderId="3" fillId="6" fontId="2" numFmtId="166" xfId="0" applyAlignment="1" applyBorder="1" applyFill="1" applyFont="1" applyNumberFormat="1">
      <alignment horizontal="center"/>
    </xf>
    <xf borderId="4" fillId="6" fontId="2" numFmtId="166" xfId="0" applyAlignment="1" applyBorder="1" applyFill="1" applyFont="1" applyNumberFormat="1">
      <alignment horizontal="center"/>
    </xf>
    <xf borderId="2" fillId="6" fontId="2" numFmtId="9" xfId="0" applyAlignment="1" applyBorder="1" applyFill="1" applyFont="1" applyNumberFormat="1">
      <alignment horizontal="center"/>
    </xf>
    <xf borderId="3" fillId="6" fontId="2" numFmtId="9" xfId="0" applyAlignment="1" applyBorder="1" applyFill="1" applyFont="1" applyNumberFormat="1">
      <alignment horizontal="center"/>
    </xf>
    <xf borderId="4" fillId="6" fontId="2" numFmtId="9" xfId="0" applyAlignment="1" applyBorder="1" applyFill="1" applyFont="1" applyNumberFormat="1">
      <alignment horizontal="center"/>
    </xf>
    <xf borderId="10" fillId="6" fontId="2" numFmtId="165" xfId="0" applyAlignment="1" applyBorder="1" applyFill="1" applyFont="1" applyNumberFormat="1">
      <alignment horizontal="center"/>
    </xf>
    <xf borderId="12" fillId="6" fontId="2" numFmtId="165" xfId="0" applyAlignment="1" applyBorder="1" applyFill="1" applyFont="1" applyNumberFormat="1">
      <alignment horizontal="center"/>
    </xf>
    <xf borderId="31" fillId="6" fontId="2" numFmtId="0" xfId="0" applyAlignment="1" applyBorder="1" applyFill="1" applyFont="1">
      <alignment horizontal="center"/>
    </xf>
    <xf borderId="1" fillId="2" fontId="2" numFmtId="0" xfId="0" applyAlignment="1" applyBorder="1" applyFill="1" applyFont="1">
      <alignment vertical="center"/>
    </xf>
    <xf borderId="0" fillId="0" fontId="2" numFmtId="166" xfId="0" applyAlignment="1" applyFont="1" applyNumberFormat="1">
      <alignment vertical="center"/>
    </xf>
    <xf borderId="0" fillId="0" fontId="30" numFmtId="0" xfId="0" applyFont="1"/>
    <xf borderId="1" fillId="2" fontId="5" numFmtId="0" xfId="0" applyAlignment="1" applyBorder="1" applyFill="1" applyFont="1">
      <alignment vertical="center"/>
    </xf>
    <xf borderId="0" fillId="0" fontId="31" numFmtId="0" xfId="0" applyFont="1"/>
    <xf borderId="0" fillId="0" fontId="2" numFmtId="0" xfId="0" applyAlignment="1" applyFont="1">
      <alignment horizontal="right" vertical="center"/>
    </xf>
    <xf borderId="0" fillId="0" fontId="2" numFmtId="2" xfId="0" applyAlignment="1" applyFont="1" applyNumberFormat="1">
      <alignment horizontal="right"/>
    </xf>
    <xf borderId="0" fillId="0" fontId="31" numFmtId="9" xfId="0" applyAlignment="1" applyFont="1" applyNumberFormat="1">
      <alignment horizontal="center"/>
    </xf>
    <xf borderId="0" fillId="0" fontId="2" numFmtId="17" xfId="0" applyAlignment="1" applyFont="1" applyNumberFormat="1">
      <alignment horizontal="center" vertical="center"/>
    </xf>
    <xf borderId="0" fillId="0" fontId="31" numFmtId="9" xfId="0" applyFont="1" applyNumberFormat="1"/>
    <xf borderId="28" fillId="3" fontId="2" numFmtId="0" xfId="0" applyBorder="1" applyFill="1" applyFont="1"/>
    <xf borderId="30" fillId="3" fontId="2" numFmtId="0" xfId="0" applyBorder="1" applyFill="1" applyFont="1"/>
    <xf borderId="0" fillId="0" fontId="30" numFmtId="3" xfId="0" applyFont="1" applyNumberFormat="1"/>
    <xf borderId="31" fillId="3" fontId="2" numFmtId="2" xfId="0" applyBorder="1" applyFill="1" applyFont="1" applyNumberFormat="1"/>
    <xf borderId="27" fillId="3" fontId="2" numFmtId="2" xfId="0" applyBorder="1" applyFill="1" applyFont="1" applyNumberFormat="1"/>
    <xf borderId="0" fillId="0" fontId="30" numFmtId="3" xfId="0" applyAlignment="1" applyFont="1" applyNumberFormat="1">
      <alignment vertical="center"/>
    </xf>
    <xf borderId="0" fillId="0" fontId="2" numFmtId="175" xfId="0" applyFont="1" applyNumberFormat="1"/>
    <xf borderId="31" fillId="3" fontId="2" numFmtId="176" xfId="0" applyBorder="1" applyFill="1" applyFont="1" applyNumberFormat="1"/>
    <xf borderId="0" fillId="0" fontId="30" numFmtId="3" xfId="0" applyAlignment="1" applyFont="1" applyNumberFormat="1">
      <alignment horizontal="right"/>
    </xf>
    <xf borderId="0" fillId="0" fontId="32" numFmtId="3" xfId="0" applyAlignment="1" applyFont="1" applyNumberFormat="1">
      <alignment horizontal="right"/>
    </xf>
    <xf borderId="0" fillId="0" fontId="2" numFmtId="166" xfId="0" applyFont="1" applyNumberFormat="1"/>
    <xf borderId="0" fillId="0" fontId="8" numFmtId="0" xfId="0" applyAlignment="1" applyFont="1">
      <alignment shrinkToFit="0" vertical="center" wrapText="1"/>
    </xf>
    <xf borderId="0" fillId="0" fontId="2" numFmtId="177" xfId="0" applyAlignment="1" applyFont="1" applyNumberFormat="1">
      <alignment horizontal="center" vertical="center"/>
    </xf>
    <xf borderId="1" fillId="15" fontId="2" numFmtId="0" xfId="0" applyAlignment="1" applyBorder="1" applyFill="1" applyFont="1">
      <alignment horizontal="center" vertical="center"/>
    </xf>
    <xf borderId="31" fillId="3" fontId="2" numFmtId="175" xfId="0" applyBorder="1" applyFill="1" applyFont="1" applyNumberFormat="1"/>
    <xf borderId="27" fillId="3" fontId="2" numFmtId="175" xfId="0" applyBorder="1" applyFill="1" applyFont="1" applyNumberFormat="1"/>
    <xf borderId="0" fillId="0" fontId="2" numFmtId="3" xfId="0" applyAlignment="1" applyFont="1" applyNumberFormat="1">
      <alignment vertical="center"/>
    </xf>
    <xf borderId="10" fillId="3" fontId="2" numFmtId="2" xfId="0" applyBorder="1" applyFill="1" applyFont="1" applyNumberFormat="1"/>
    <xf borderId="0" fillId="0" fontId="13" numFmtId="3" xfId="0" applyAlignment="1" applyFont="1" applyNumberFormat="1">
      <alignment horizontal="right"/>
    </xf>
    <xf borderId="14" fillId="3" fontId="2" numFmtId="2" xfId="0" applyBorder="1" applyFill="1" applyFont="1" applyNumberFormat="1"/>
    <xf borderId="0" fillId="0" fontId="1" numFmtId="0" xfId="0" applyAlignment="1" applyFont="1">
      <alignment vertical="center"/>
    </xf>
    <xf borderId="0" fillId="0" fontId="28" numFmtId="0" xfId="0" applyFont="1"/>
    <xf borderId="0" fillId="0" fontId="33" numFmtId="3" xfId="0" applyAlignment="1" applyFont="1" applyNumberFormat="1">
      <alignment vertical="center"/>
    </xf>
    <xf borderId="0" fillId="0" fontId="25" numFmtId="0" xfId="0" applyAlignment="1" applyFont="1">
      <alignment vertical="center"/>
    </xf>
    <xf borderId="1" fillId="7" fontId="2" numFmtId="49" xfId="0" applyAlignment="1" applyBorder="1" applyFill="1" applyFont="1" applyNumberFormat="1">
      <alignment shrinkToFit="0" wrapText="1"/>
    </xf>
    <xf borderId="1" fillId="7" fontId="1" numFmtId="49" xfId="0" applyAlignment="1" applyBorder="1" applyFill="1" applyFont="1" applyNumberFormat="1">
      <alignment shrinkToFit="0" wrapText="1"/>
    </xf>
    <xf borderId="1" fillId="20" fontId="2" numFmtId="49" xfId="0" applyAlignment="1" applyBorder="1" applyFill="1" applyFont="1" applyNumberFormat="1">
      <alignment horizontal="left" shrinkToFit="0" vertical="top" wrapText="1"/>
    </xf>
    <xf borderId="0" fillId="0" fontId="2" numFmtId="165" xfId="0" applyAlignment="1" applyFont="1" applyNumberFormat="1">
      <alignment shrinkToFit="0" wrapText="1"/>
    </xf>
    <xf borderId="0" fillId="0" fontId="2" numFmtId="166" xfId="0" applyAlignment="1" applyFont="1" applyNumberFormat="1">
      <alignment horizontal="right"/>
    </xf>
    <xf borderId="1" fillId="12" fontId="2" numFmtId="3" xfId="0" applyAlignment="1" applyBorder="1" applyFill="1" applyFont="1" applyNumberFormat="1">
      <alignment horizontal="right"/>
    </xf>
    <xf borderId="0" fillId="0" fontId="2" numFmtId="178" xfId="0" applyFont="1" applyNumberFormat="1"/>
    <xf borderId="1" fillId="8" fontId="2" numFmtId="3" xfId="0" applyBorder="1" applyFill="1" applyFont="1" applyNumberFormat="1"/>
    <xf borderId="1" fillId="8" fontId="2" numFmtId="9" xfId="0" applyAlignment="1" applyBorder="1" applyFill="1" applyFont="1" applyNumberFormat="1">
      <alignment horizontal="right"/>
    </xf>
    <xf borderId="1" fillId="8" fontId="2" numFmtId="179" xfId="0" applyAlignment="1" applyBorder="1" applyFill="1" applyFont="1" applyNumberFormat="1">
      <alignment horizontal="right"/>
    </xf>
    <xf borderId="0" fillId="0" fontId="2" numFmtId="9" xfId="0" applyAlignment="1" applyFont="1" applyNumberFormat="1">
      <alignment horizontal="right"/>
    </xf>
    <xf borderId="1" fillId="12" fontId="2" numFmtId="3" xfId="0" applyBorder="1" applyFill="1" applyFont="1" applyNumberFormat="1"/>
    <xf borderId="0" fillId="0" fontId="8" numFmtId="0" xfId="0" applyAlignment="1" applyFont="1">
      <alignment horizontal="center" vertical="top"/>
    </xf>
    <xf borderId="1" fillId="5" fontId="1" numFmtId="0" xfId="0" applyAlignment="1" applyBorder="1" applyFill="1" applyFont="1">
      <alignment vertical="center"/>
    </xf>
    <xf borderId="1" fillId="8" fontId="30" numFmtId="3" xfId="0" applyBorder="1" applyFill="1" applyFont="1" applyNumberFormat="1"/>
    <xf borderId="1" fillId="8" fontId="2" numFmtId="165" xfId="0" applyBorder="1" applyFill="1" applyFont="1" applyNumberFormat="1"/>
    <xf borderId="1" fillId="8" fontId="1" numFmtId="3" xfId="0" applyBorder="1" applyFill="1" applyFont="1" applyNumberFormat="1"/>
    <xf borderId="1" fillId="8" fontId="18" numFmtId="3" xfId="0" applyAlignment="1" applyBorder="1" applyFill="1" applyFont="1" applyNumberFormat="1">
      <alignment horizontal="right" vertical="top"/>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7"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Heating efficiency by flow temperature</a:t>
            </a:r>
          </a:p>
        </c:rich>
      </c:tx>
      <c:overlay val="0"/>
    </c:title>
    <c:plotArea>
      <c:layout/>
      <c:scatterChart>
        <c:scatterStyle val="lineMarker"/>
        <c:ser>
          <c:idx val="0"/>
          <c:order val="0"/>
          <c:tx>
            <c:v>HHIC</c:v>
          </c:tx>
          <c:spPr>
            <a:ln>
              <a:noFill/>
            </a:ln>
          </c:spPr>
          <c:marker>
            <c:symbol val="circle"/>
            <c:size val="7"/>
            <c:spPr>
              <a:solidFill>
                <a:schemeClr val="accent1"/>
              </a:solidFill>
              <a:ln cmpd="sng">
                <a:solidFill>
                  <a:schemeClr val="accent1"/>
                </a:solidFill>
              </a:ln>
            </c:spPr>
          </c:marker>
          <c:xVal>
            <c:numRef>
              <c:f>'Reducing radiator temp'!$K$14:$K$19</c:f>
            </c:numRef>
          </c:xVal>
          <c:yVal>
            <c:numRef>
              <c:f>'Reducing radiator temp'!$N$14:$N$19</c:f>
              <c:numCache/>
            </c:numRef>
          </c:yVal>
        </c:ser>
        <c:ser>
          <c:idx val="1"/>
          <c:order val="1"/>
          <c:tx>
            <c:v>CIBSE</c:v>
          </c:tx>
          <c:spPr>
            <a:ln>
              <a:noFill/>
            </a:ln>
          </c:spPr>
          <c:marker>
            <c:symbol val="circle"/>
            <c:size val="7"/>
            <c:spPr>
              <a:solidFill>
                <a:schemeClr val="accent2"/>
              </a:solidFill>
              <a:ln cmpd="sng">
                <a:solidFill>
                  <a:schemeClr val="accent2"/>
                </a:solidFill>
              </a:ln>
            </c:spPr>
          </c:marker>
          <c:xVal>
            <c:numRef>
              <c:f>'Reducing radiator temp'!$K$14:$K$19</c:f>
            </c:numRef>
          </c:xVal>
          <c:yVal>
            <c:numRef>
              <c:f>'Reducing radiator temp'!$O$14:$O$19</c:f>
              <c:numCache/>
            </c:numRef>
          </c:yVal>
        </c:ser>
        <c:ser>
          <c:idx val="2"/>
          <c:order val="2"/>
          <c:tx>
            <c:v>Heat Geek</c:v>
          </c:tx>
          <c:spPr>
            <a:ln>
              <a:noFill/>
            </a:ln>
          </c:spPr>
          <c:marker>
            <c:symbol val="circle"/>
            <c:size val="7"/>
            <c:spPr>
              <a:solidFill>
                <a:schemeClr val="accent3"/>
              </a:solidFill>
              <a:ln cmpd="sng">
                <a:solidFill>
                  <a:schemeClr val="accent3"/>
                </a:solidFill>
              </a:ln>
            </c:spPr>
          </c:marker>
          <c:xVal>
            <c:numRef>
              <c:f>'Reducing radiator temp'!$K$14:$K$19</c:f>
            </c:numRef>
          </c:xVal>
          <c:yVal>
            <c:numRef>
              <c:f>'Reducing radiator temp'!$P$14:$P$19</c:f>
              <c:numCache/>
            </c:numRef>
          </c:yVal>
        </c:ser>
        <c:ser>
          <c:idx val="3"/>
          <c:order val="3"/>
          <c:tx>
            <c:v>Salford</c:v>
          </c:tx>
          <c:spPr>
            <a:ln>
              <a:noFill/>
            </a:ln>
          </c:spPr>
          <c:marker>
            <c:symbol val="circle"/>
            <c:size val="7"/>
            <c:spPr>
              <a:solidFill>
                <a:schemeClr val="accent4"/>
              </a:solidFill>
              <a:ln cmpd="sng">
                <a:solidFill>
                  <a:schemeClr val="accent4"/>
                </a:solidFill>
              </a:ln>
            </c:spPr>
          </c:marker>
          <c:xVal>
            <c:numRef>
              <c:f>'Reducing radiator temp'!$K$14:$K$19</c:f>
            </c:numRef>
          </c:xVal>
          <c:yVal>
            <c:numRef>
              <c:f>'Reducing radiator temp'!$Q$14:$Q$19</c:f>
              <c:numCache/>
            </c:numRef>
          </c:yVal>
        </c:ser>
        <c:dLbls>
          <c:showLegendKey val="0"/>
          <c:showVal val="0"/>
          <c:showCatName val="0"/>
          <c:showSerName val="0"/>
          <c:showPercent val="0"/>
          <c:showBubbleSize val="0"/>
        </c:dLbls>
        <c:axId val="893956451"/>
        <c:axId val="2030176806"/>
      </c:scatterChart>
      <c:valAx>
        <c:axId val="893956451"/>
        <c:scaling>
          <c:orientation val="minMax"/>
          <c:max val="80.0"/>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0176806"/>
      </c:valAx>
      <c:valAx>
        <c:axId val="20301768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93956451"/>
      </c:valAx>
    </c:plotArea>
    <c:legend>
      <c:legendPos val="b"/>
      <c:overlay val="0"/>
      <c:txPr>
        <a:bodyPr/>
        <a:lstStyle/>
        <a:p>
          <a:pPr lvl="0">
            <a:defRPr b="0" i="0" sz="90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Code versus CHM results for gas homes</a:t>
            </a:r>
          </a:p>
        </c:rich>
      </c:tx>
      <c:overlay val="0"/>
    </c:title>
    <c:plotArea>
      <c:layout/>
      <c:barChart>
        <c:barDir val="col"/>
        <c:ser>
          <c:idx val="0"/>
          <c:order val="0"/>
          <c:tx>
            <c:v>CODE</c:v>
          </c:tx>
          <c:spPr>
            <a:solidFill>
              <a:srgbClr val="4472C4"/>
            </a:solidFill>
            <a:ln cmpd="sng">
              <a:noFill/>
            </a:ln>
          </c:spPr>
          <c:invertIfNegative val="0"/>
          <c:cat>
            <c:strRef>
              <c:f>'Reduce heating hours'!$B$19:$C$19</c:f>
            </c:strRef>
          </c:cat>
          <c:val>
            <c:numRef>
              <c:f>'Reduce heating hours'!$B$20:$C$20</c:f>
              <c:numCache/>
            </c:numRef>
          </c:val>
        </c:ser>
        <c:ser>
          <c:idx val="1"/>
          <c:order val="1"/>
          <c:tx>
            <c:v>CHM</c:v>
          </c:tx>
          <c:spPr>
            <a:solidFill>
              <a:srgbClr val="ED7D31"/>
            </a:solidFill>
            <a:ln cmpd="sng">
              <a:noFill/>
            </a:ln>
          </c:spPr>
          <c:invertIfNegative val="0"/>
          <c:cat>
            <c:strRef>
              <c:f>'Reduce heating hours'!$B$19:$C$19</c:f>
            </c:strRef>
          </c:cat>
          <c:val>
            <c:numRef>
              <c:f>'Reduce heating hours'!$B$21:$C$21</c:f>
              <c:numCache/>
            </c:numRef>
          </c:val>
        </c:ser>
        <c:axId val="1588335072"/>
        <c:axId val="411502434"/>
      </c:barChart>
      <c:catAx>
        <c:axId val="15883350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11502434"/>
      </c:catAx>
      <c:valAx>
        <c:axId val="411502434"/>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Energy saivngs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88335072"/>
      </c:valAx>
    </c:plotArea>
    <c:legend>
      <c:legendPos val="b"/>
      <c:overlay val="0"/>
      <c:txPr>
        <a:bodyPr/>
        <a:lstStyle/>
        <a:p>
          <a:pPr lvl="0">
            <a:defRPr b="0" i="0" sz="90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Bill savings from removing obstructions from  radiators</a:t>
            </a:r>
          </a:p>
        </c:rich>
      </c:tx>
      <c:overlay val="0"/>
    </c:title>
    <c:plotArea>
      <c:layout/>
      <c:lineChart>
        <c:ser>
          <c:idx val="0"/>
          <c:order val="0"/>
          <c:tx>
            <c:v>median</c:v>
          </c:tx>
          <c:spPr>
            <a:ln cmpd="sng" w="28575">
              <a:solidFill>
                <a:schemeClr val="accent2"/>
              </a:solidFill>
            </a:ln>
          </c:spPr>
          <c:marker>
            <c:symbol val="none"/>
          </c:marker>
          <c:cat>
            <c:strRef>
              <c:f>'Moving furniture'!$B$12:$B$14</c:f>
            </c:strRef>
          </c:cat>
          <c:val>
            <c:numRef>
              <c:f>'Moving furniture'!$C$12:$C$14</c:f>
              <c:numCache/>
            </c:numRef>
          </c:val>
          <c:smooth val="0"/>
        </c:ser>
        <c:ser>
          <c:idx val="1"/>
          <c:order val="1"/>
          <c:tx>
            <c:v>lower quartile</c:v>
          </c:tx>
          <c:spPr>
            <a:ln cmpd="sng" w="28575">
              <a:solidFill>
                <a:srgbClr val="FF0000">
                  <a:alpha val="100000"/>
                </a:srgbClr>
              </a:solidFill>
              <a:prstDash val="dash"/>
            </a:ln>
          </c:spPr>
          <c:marker>
            <c:symbol val="none"/>
          </c:marker>
          <c:cat>
            <c:strRef>
              <c:f>'Moving furniture'!$B$12:$B$14</c:f>
            </c:strRef>
          </c:cat>
          <c:val>
            <c:numRef>
              <c:f>'Moving furniture'!$D$12:$D$14</c:f>
              <c:numCache/>
            </c:numRef>
          </c:val>
          <c:smooth val="0"/>
        </c:ser>
        <c:ser>
          <c:idx val="2"/>
          <c:order val="2"/>
          <c:tx>
            <c:v>upper quartile</c:v>
          </c:tx>
          <c:spPr>
            <a:ln cmpd="sng" w="28575">
              <a:solidFill>
                <a:srgbClr val="FF0000">
                  <a:alpha val="100000"/>
                </a:srgbClr>
              </a:solidFill>
              <a:prstDash val="dash"/>
            </a:ln>
          </c:spPr>
          <c:marker>
            <c:symbol val="none"/>
          </c:marker>
          <c:cat>
            <c:strRef>
              <c:f>'Moving furniture'!$B$12:$B$14</c:f>
            </c:strRef>
          </c:cat>
          <c:val>
            <c:numRef>
              <c:f>'Moving furniture'!$E$12:$E$14</c:f>
              <c:numCache/>
            </c:numRef>
          </c:val>
          <c:smooth val="0"/>
        </c:ser>
        <c:ser>
          <c:idx val="3"/>
          <c:order val="3"/>
          <c:tx>
            <c:v>weighted mean</c:v>
          </c:tx>
          <c:spPr>
            <a:ln cmpd="sng" w="28575">
              <a:solidFill>
                <a:schemeClr val="accent5"/>
              </a:solidFill>
            </a:ln>
          </c:spPr>
          <c:marker>
            <c:symbol val="none"/>
          </c:marker>
          <c:cat>
            <c:strRef>
              <c:f>'Moving furniture'!$B$12:$B$14</c:f>
            </c:strRef>
          </c:cat>
          <c:val>
            <c:numRef>
              <c:f>'Moving furniture'!$F$12:$F$14</c:f>
              <c:numCache/>
            </c:numRef>
          </c:val>
          <c:smooth val="0"/>
        </c:ser>
        <c:axId val="393995876"/>
        <c:axId val="1907254423"/>
      </c:lineChart>
      <c:catAx>
        <c:axId val="393995876"/>
        <c:scaling>
          <c:orientation val="minMax"/>
        </c:scaling>
        <c:delete val="0"/>
        <c:axPos val="b"/>
        <c:title>
          <c:tx>
            <c:rich>
              <a:bodyPr/>
              <a:lstStyle/>
              <a:p>
                <a:pPr lvl="0">
                  <a:defRPr b="0" i="0" sz="1000">
                    <a:solidFill>
                      <a:srgbClr val="000000"/>
                    </a:solidFill>
                    <a:latin typeface="+mn-lt"/>
                  </a:defRPr>
                </a:pPr>
                <a:r>
                  <a:rPr b="0" i="0" sz="1000">
                    <a:solidFill>
                      <a:srgbClr val="000000"/>
                    </a:solidFill>
                    <a:latin typeface="+mn-lt"/>
                  </a:rPr>
                  <a:t>Reduction in radiator capacity</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07254423"/>
      </c:catAx>
      <c:valAx>
        <c:axId val="1907254423"/>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Reduction in energu bill</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93995876"/>
      </c:valAx>
    </c:plotArea>
    <c:legend>
      <c:legendPos val="b"/>
      <c:overlay val="0"/>
      <c:txPr>
        <a:bodyPr/>
        <a:lstStyle/>
        <a:p>
          <a:pPr lvl="0">
            <a:defRPr b="0" i="0" sz="90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Annual savings by area of window (using CHM)</a:t>
            </a:r>
          </a:p>
        </c:rich>
      </c:tx>
      <c:overlay val="0"/>
    </c:title>
    <c:plotArea>
      <c:layout/>
      <c:barChart>
        <c:barDir val="col"/>
        <c:ser>
          <c:idx val="0"/>
          <c:order val="0"/>
          <c:tx>
            <c:v>Closing curtains on single glazed windows</c:v>
          </c:tx>
          <c:spPr>
            <a:solidFill>
              <a:srgbClr val="4472C4"/>
            </a:solidFill>
            <a:ln cmpd="sng">
              <a:noFill/>
            </a:ln>
          </c:spPr>
          <c:invertIfNegative val="0"/>
          <c:cat>
            <c:strRef>
              <c:f>'Closing curtains'!$B$10:$J$10</c:f>
            </c:strRef>
          </c:cat>
          <c:val>
            <c:numRef>
              <c:f>'Closing curtains'!$B$11:$J$11</c:f>
              <c:numCache/>
            </c:numRef>
          </c:val>
        </c:ser>
        <c:ser>
          <c:idx val="1"/>
          <c:order val="1"/>
          <c:tx>
            <c:v>Closing curtains on double glazed windows</c:v>
          </c:tx>
          <c:spPr>
            <a:solidFill>
              <a:srgbClr val="ED7D31"/>
            </a:solidFill>
            <a:ln cmpd="sng">
              <a:noFill/>
            </a:ln>
          </c:spPr>
          <c:invertIfNegative val="0"/>
          <c:cat>
            <c:strRef>
              <c:f>'Closing curtains'!$B$10:$J$10</c:f>
            </c:strRef>
          </c:cat>
          <c:val>
            <c:numRef>
              <c:f>'Closing curtains'!$B$12:$J$12</c:f>
              <c:numCache/>
            </c:numRef>
          </c:val>
        </c:ser>
        <c:axId val="781475293"/>
        <c:axId val="1947699705"/>
      </c:barChart>
      <c:catAx>
        <c:axId val="7814752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47699705"/>
      </c:catAx>
      <c:valAx>
        <c:axId val="1947699705"/>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Annual savings per m2 window kWh/year/m2</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81475293"/>
      </c:valAx>
    </c:plotArea>
    <c:legend>
      <c:legendPos val="b"/>
      <c:overlay val="0"/>
      <c:txPr>
        <a:bodyPr/>
        <a:lstStyle/>
        <a:p>
          <a:pPr lvl="0">
            <a:defRPr b="0" i="0" sz="90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Savings by area of window</a:t>
            </a:r>
          </a:p>
        </c:rich>
      </c:tx>
      <c:overlay val="0"/>
    </c:title>
    <c:plotArea>
      <c:layout/>
      <c:barChart>
        <c:barDir val="col"/>
        <c:ser>
          <c:idx val="0"/>
          <c:order val="0"/>
          <c:tx>
            <c:v>Film on single-glazed windows</c:v>
          </c:tx>
          <c:spPr>
            <a:solidFill>
              <a:srgbClr val="4472C4"/>
            </a:solidFill>
            <a:ln cmpd="sng">
              <a:noFill/>
            </a:ln>
          </c:spPr>
          <c:invertIfNegative val="0"/>
          <c:cat>
            <c:strRef>
              <c:f>'Window treatments'!$B$10:$J$10</c:f>
            </c:strRef>
          </c:cat>
          <c:val>
            <c:numRef>
              <c:f>'Window treatments'!$B$11:$J$11</c:f>
              <c:numCache/>
            </c:numRef>
          </c:val>
        </c:ser>
        <c:ser>
          <c:idx val="1"/>
          <c:order val="1"/>
          <c:tx>
            <c:v>Film on double-glazed windows</c:v>
          </c:tx>
          <c:spPr>
            <a:solidFill>
              <a:srgbClr val="ED7D31"/>
            </a:solidFill>
            <a:ln cmpd="sng">
              <a:noFill/>
            </a:ln>
          </c:spPr>
          <c:invertIfNegative val="0"/>
          <c:cat>
            <c:strRef>
              <c:f>'Window treatments'!$B$10:$J$10</c:f>
            </c:strRef>
          </c:cat>
          <c:val>
            <c:numRef>
              <c:f>'Window treatments'!$B$12:$J$12</c:f>
              <c:numCache/>
            </c:numRef>
          </c:val>
        </c:ser>
        <c:axId val="905749481"/>
        <c:axId val="165223384"/>
      </c:barChart>
      <c:catAx>
        <c:axId val="90574948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223384"/>
      </c:catAx>
      <c:valAx>
        <c:axId val="165223384"/>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kWh/m2 window</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05749481"/>
      </c:valAx>
    </c:plotArea>
    <c:legend>
      <c:legendPos val="b"/>
      <c:overlay val="0"/>
      <c:txPr>
        <a:bodyPr/>
        <a:lstStyle/>
        <a:p>
          <a:pPr lvl="0">
            <a:defRPr b="0" i="0" sz="90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Gas homes, variation in savings for insulation upgrades to 150mm  or 300mm</a:t>
            </a:r>
          </a:p>
        </c:rich>
      </c:tx>
      <c:overlay val="0"/>
    </c:title>
    <c:plotArea>
      <c:layout/>
      <c:barChart>
        <c:barDir val="col"/>
        <c:ser>
          <c:idx val="0"/>
          <c:order val="0"/>
          <c:tx>
            <c:v>Low</c:v>
          </c:tx>
          <c:spPr>
            <a:solidFill>
              <a:srgbClr val="A5A5A5"/>
            </a:solidFill>
            <a:ln cmpd="sng">
              <a:noFill/>
            </a:ln>
          </c:spPr>
          <c:invertIfNegative val="0"/>
          <c:cat>
            <c:strRef>
              <c:f>'Loft insulation'!$A$12:$A$17</c:f>
            </c:strRef>
          </c:cat>
          <c:val>
            <c:numRef>
              <c:f>'Loft insulation'!$D$12:$D$17</c:f>
              <c:numCache/>
            </c:numRef>
          </c:val>
        </c:ser>
        <c:ser>
          <c:idx val="1"/>
          <c:order val="1"/>
          <c:tx>
            <c:v>mean</c:v>
          </c:tx>
          <c:spPr>
            <a:solidFill>
              <a:srgbClr val="FFC000"/>
            </a:solidFill>
            <a:ln cmpd="sng">
              <a:noFill/>
            </a:ln>
          </c:spPr>
          <c:invertIfNegative val="0"/>
          <c:cat>
            <c:strRef>
              <c:f>'Loft insulation'!$A$12:$A$17</c:f>
            </c:strRef>
          </c:cat>
          <c:val>
            <c:numRef>
              <c:f>'Loft insulation'!$E$12:$E$17</c:f>
              <c:numCache/>
            </c:numRef>
          </c:val>
        </c:ser>
        <c:ser>
          <c:idx val="2"/>
          <c:order val="2"/>
          <c:tx>
            <c:v>High</c:v>
          </c:tx>
          <c:spPr>
            <a:solidFill>
              <a:srgbClr val="5B9BD5"/>
            </a:solidFill>
            <a:ln cmpd="sng">
              <a:noFill/>
            </a:ln>
          </c:spPr>
          <c:invertIfNegative val="0"/>
          <c:cat>
            <c:strRef>
              <c:f>'Loft insulation'!$A$12:$A$17</c:f>
            </c:strRef>
          </c:cat>
          <c:val>
            <c:numRef>
              <c:f>'Loft insulation'!$F$12:$F$17</c:f>
              <c:numCache/>
            </c:numRef>
          </c:val>
        </c:ser>
        <c:axId val="1077705283"/>
        <c:axId val="1848951306"/>
      </c:barChart>
      <c:catAx>
        <c:axId val="10777052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48951306"/>
      </c:catAx>
      <c:valAx>
        <c:axId val="1848951306"/>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Annual savings by loft area (kWh/year/m2)</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77705283"/>
      </c:valAx>
    </c:plotArea>
    <c:legend>
      <c:legendPos val="b"/>
      <c:overlay val="0"/>
      <c:txPr>
        <a:bodyPr/>
        <a:lstStyle/>
        <a:p>
          <a:pPr lvl="0">
            <a:defRPr b="0" i="0" sz="90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Mean household savings by fuel</a:t>
            </a:r>
          </a:p>
        </c:rich>
      </c:tx>
      <c:overlay val="0"/>
    </c:title>
    <c:plotArea>
      <c:layout/>
      <c:barChart>
        <c:barDir val="col"/>
        <c:ser>
          <c:idx val="0"/>
          <c:order val="0"/>
          <c:tx>
            <c:v>Gas</c:v>
          </c:tx>
          <c:spPr>
            <a:solidFill>
              <a:srgbClr val="4472C4"/>
            </a:solidFill>
            <a:ln cmpd="sng">
              <a:noFill/>
            </a:ln>
          </c:spPr>
          <c:invertIfNegative val="0"/>
          <c:cat>
            <c:strRef>
              <c:f>'Loft insulation'!$A$12:$A$17</c:f>
            </c:strRef>
          </c:cat>
          <c:val>
            <c:numRef>
              <c:f>'Loft insulation'!$E$12:$E$17</c:f>
              <c:numCache/>
            </c:numRef>
          </c:val>
        </c:ser>
        <c:ser>
          <c:idx val="1"/>
          <c:order val="1"/>
          <c:tx>
            <c:v>Electricity</c:v>
          </c:tx>
          <c:spPr>
            <a:solidFill>
              <a:srgbClr val="ED7D31"/>
            </a:solidFill>
            <a:ln cmpd="sng">
              <a:noFill/>
            </a:ln>
          </c:spPr>
          <c:invertIfNegative val="0"/>
          <c:cat>
            <c:strRef>
              <c:f>'Loft insulation'!$A$12:$A$17</c:f>
            </c:strRef>
          </c:cat>
          <c:val>
            <c:numRef>
              <c:f>'Loft insulation'!$J$12:$J$17</c:f>
              <c:numCache/>
            </c:numRef>
          </c:val>
        </c:ser>
        <c:axId val="1555358936"/>
        <c:axId val="404046110"/>
      </c:barChart>
      <c:catAx>
        <c:axId val="15553589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04046110"/>
      </c:catAx>
      <c:valAx>
        <c:axId val="404046110"/>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Annual savings by loft area (kWh/year/m2)</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55358936"/>
      </c:valAx>
    </c:plotArea>
    <c:legend>
      <c:legendPos val="b"/>
      <c:overlay val="0"/>
      <c:txPr>
        <a:bodyPr/>
        <a:lstStyle/>
        <a:p>
          <a:pPr lvl="0">
            <a:defRPr b="0" i="0" sz="90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Housing stock: loft insulation levels by fuel type</a:t>
            </a:r>
          </a:p>
        </c:rich>
      </c:tx>
      <c:overlay val="0"/>
    </c:title>
    <c:plotArea>
      <c:layout/>
      <c:barChart>
        <c:barDir val="col"/>
        <c:ser>
          <c:idx val="0"/>
          <c:order val="0"/>
          <c:tx>
            <c:v>Gas</c:v>
          </c:tx>
          <c:spPr>
            <a:solidFill>
              <a:srgbClr val="4472C4"/>
            </a:solidFill>
            <a:ln cmpd="sng">
              <a:noFill/>
            </a:ln>
          </c:spPr>
          <c:invertIfNegative val="0"/>
          <c:cat>
            <c:strRef>
              <c:f>'Loft insulation'!$P$26:$P$32</c:f>
            </c:strRef>
          </c:cat>
          <c:val>
            <c:numRef>
              <c:f>'Loft insulation'!$Q$26:$Q$32</c:f>
              <c:numCache/>
            </c:numRef>
          </c:val>
        </c:ser>
        <c:ser>
          <c:idx val="1"/>
          <c:order val="1"/>
          <c:tx>
            <c:v>Oil</c:v>
          </c:tx>
          <c:spPr>
            <a:solidFill>
              <a:srgbClr val="ED7D31"/>
            </a:solidFill>
            <a:ln cmpd="sng">
              <a:noFill/>
            </a:ln>
          </c:spPr>
          <c:invertIfNegative val="0"/>
          <c:cat>
            <c:strRef>
              <c:f>'Loft insulation'!$P$26:$P$32</c:f>
            </c:strRef>
          </c:cat>
          <c:val>
            <c:numRef>
              <c:f>'Loft insulation'!$R$26:$R$32</c:f>
              <c:numCache/>
            </c:numRef>
          </c:val>
        </c:ser>
        <c:ser>
          <c:idx val="2"/>
          <c:order val="2"/>
          <c:tx>
            <c:v>Electricity</c:v>
          </c:tx>
          <c:spPr>
            <a:solidFill>
              <a:srgbClr val="A5A5A5"/>
            </a:solidFill>
            <a:ln cmpd="sng">
              <a:noFill/>
            </a:ln>
          </c:spPr>
          <c:invertIfNegative val="0"/>
          <c:cat>
            <c:strRef>
              <c:f>'Loft insulation'!$P$26:$P$32</c:f>
            </c:strRef>
          </c:cat>
          <c:val>
            <c:numRef>
              <c:f>'Loft insulation'!$S$26:$S$32</c:f>
              <c:numCache/>
            </c:numRef>
          </c:val>
        </c:ser>
        <c:axId val="534395814"/>
        <c:axId val="935221085"/>
      </c:barChart>
      <c:catAx>
        <c:axId val="5343958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35221085"/>
      </c:catAx>
      <c:valAx>
        <c:axId val="93522108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34395814"/>
      </c:valAx>
    </c:plotArea>
    <c:legend>
      <c:legendPos val="b"/>
      <c:overlay val="0"/>
      <c:txPr>
        <a:bodyPr/>
        <a:lstStyle/>
        <a:p>
          <a:pPr lvl="0">
            <a:defRPr b="0" i="0" sz="90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scatterChart>
        <c:scatterStyle val="lineMarker"/>
        <c:varyColors val="0"/>
        <c:ser>
          <c:idx val="0"/>
          <c:order val="0"/>
          <c:tx>
            <c:v>Savings (W/m2)</c:v>
          </c:tx>
          <c:spPr>
            <a:ln>
              <a:noFill/>
            </a:ln>
          </c:spPr>
          <c:marker>
            <c:symbol val="circle"/>
            <c:size val="7"/>
            <c:spPr>
              <a:solidFill>
                <a:schemeClr val="accent1"/>
              </a:solidFill>
              <a:ln cmpd="sng">
                <a:solidFill>
                  <a:schemeClr val="accent1"/>
                </a:solidFill>
              </a:ln>
            </c:spPr>
          </c:marker>
          <c:xVal>
            <c:numRef>
              <c:f>'Radiator foil'!$H$30:$H$32</c:f>
            </c:numRef>
          </c:xVal>
          <c:yVal>
            <c:numRef>
              <c:f>'Radiator foil'!$I$30:$I$32</c:f>
              <c:numCache/>
            </c:numRef>
          </c:yVal>
        </c:ser>
        <c:dLbls>
          <c:showLegendKey val="0"/>
          <c:showVal val="0"/>
          <c:showCatName val="0"/>
          <c:showSerName val="0"/>
          <c:showPercent val="0"/>
          <c:showBubbleSize val="0"/>
        </c:dLbls>
        <c:axId val="1073454489"/>
        <c:axId val="1372760481"/>
      </c:scatterChart>
      <c:valAx>
        <c:axId val="1073454489"/>
        <c:scaling>
          <c:orientation val="minMax"/>
        </c:scaling>
        <c:delete val="0"/>
        <c:axPos val="b"/>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Wall U-value</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72760481"/>
      </c:valAx>
      <c:valAx>
        <c:axId val="1372760481"/>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Heat savings W/m2</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73454489"/>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6.png"/><Relationship Id="rId3" Type="http://schemas.openxmlformats.org/officeDocument/2006/relationships/image" Target="../media/image5.png"/><Relationship Id="rId4" Type="http://schemas.openxmlformats.org/officeDocument/2006/relationships/image" Target="../media/image3.png"/><Relationship Id="rId5"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 Id="rId2"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Relationship Id="rId3" Type="http://schemas.openxmlformats.org/officeDocument/2006/relationships/chart" Target="../charts/chart8.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9.xml"/><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295275</xdr:colOff>
      <xdr:row>2</xdr:row>
      <xdr:rowOff>285750</xdr:rowOff>
    </xdr:from>
    <xdr:ext cx="209550" cy="314325"/>
    <xdr:sp>
      <xdr:nvSpPr>
        <xdr:cNvPr id="3" name="Shape 3"/>
        <xdr:cNvSpPr/>
      </xdr:nvSpPr>
      <xdr:spPr>
        <a:xfrm>
          <a:off x="5245988" y="3627600"/>
          <a:ext cx="200025" cy="304800"/>
        </a:xfrm>
        <a:prstGeom prst="rect">
          <a:avLst/>
        </a:prstGeom>
        <a:solidFill>
          <a:schemeClr val="lt1"/>
        </a:solidFill>
        <a:ln>
          <a:noFill/>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xdr:col>
      <xdr:colOff>476250</xdr:colOff>
      <xdr:row>2</xdr:row>
      <xdr:rowOff>638175</xdr:rowOff>
    </xdr:from>
    <xdr:ext cx="3514725" cy="590550"/>
    <xdr:sp>
      <xdr:nvSpPr>
        <xdr:cNvPr id="4" name="Shape 4"/>
        <xdr:cNvSpPr/>
      </xdr:nvSpPr>
      <xdr:spPr>
        <a:xfrm>
          <a:off x="3593400" y="3489488"/>
          <a:ext cx="3505200" cy="581025"/>
        </a:xfrm>
        <a:prstGeom prst="rect">
          <a:avLst/>
        </a:prstGeom>
        <a:solidFill>
          <a:schemeClr val="lt1"/>
        </a:solidFill>
        <a:ln>
          <a:noFill/>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xdr:col>
      <xdr:colOff>228600</xdr:colOff>
      <xdr:row>2</xdr:row>
      <xdr:rowOff>828675</xdr:rowOff>
    </xdr:from>
    <xdr:ext cx="4953000" cy="600075"/>
    <xdr:sp>
      <xdr:nvSpPr>
        <xdr:cNvPr id="5" name="Shape 5"/>
        <xdr:cNvSpPr/>
      </xdr:nvSpPr>
      <xdr:spPr>
        <a:xfrm>
          <a:off x="2874263" y="3484725"/>
          <a:ext cx="4943475" cy="590550"/>
        </a:xfrm>
        <a:prstGeom prst="rect">
          <a:avLst/>
        </a:prstGeom>
        <a:solidFill>
          <a:schemeClr val="lt1"/>
        </a:solidFill>
        <a:ln cap="flat" cmpd="sng" w="12700">
          <a:solidFill>
            <a:schemeClr val="lt1"/>
          </a:solidFill>
          <a:prstDash val="solid"/>
          <a:miter lim="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xdr:col>
      <xdr:colOff>419100</xdr:colOff>
      <xdr:row>2</xdr:row>
      <xdr:rowOff>695325</xdr:rowOff>
    </xdr:from>
    <xdr:ext cx="4095750" cy="838200"/>
    <xdr:sp>
      <xdr:nvSpPr>
        <xdr:cNvPr id="6" name="Shape 6"/>
        <xdr:cNvSpPr txBox="1"/>
      </xdr:nvSpPr>
      <xdr:spPr>
        <a:xfrm>
          <a:off x="3302888" y="3365663"/>
          <a:ext cx="4086225" cy="82867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Clr>
              <a:srgbClr val="130BBB"/>
            </a:buClr>
            <a:buSzPts val="1500"/>
            <a:buFont typeface="Calibri"/>
            <a:buNone/>
          </a:pPr>
          <a:r>
            <a:rPr b="1" lang="en-US" sz="1500">
              <a:solidFill>
                <a:srgbClr val="130BBB"/>
              </a:solidFill>
              <a:latin typeface="Calibri"/>
              <a:ea typeface="Calibri"/>
              <a:cs typeface="Calibri"/>
              <a:sym typeface="Calibri"/>
            </a:rPr>
            <a:t>Free and low-cost energy-saving actions to bring down bills, improve energy security and help the planet</a:t>
          </a:r>
          <a:endParaRPr sz="1400"/>
        </a:p>
      </xdr:txBody>
    </xdr:sp>
    <xdr:clientData fLocksWithSheet="0"/>
  </xdr:oneCellAnchor>
  <xdr:oneCellAnchor>
    <xdr:from>
      <xdr:col>1</xdr:col>
      <xdr:colOff>0</xdr:colOff>
      <xdr:row>1</xdr:row>
      <xdr:rowOff>57150</xdr:rowOff>
    </xdr:from>
    <xdr:ext cx="5676900" cy="5114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476250</xdr:colOff>
      <xdr:row>2</xdr:row>
      <xdr:rowOff>219075</xdr:rowOff>
    </xdr:from>
    <xdr:ext cx="1371600" cy="390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266700</xdr:colOff>
      <xdr:row>21</xdr:row>
      <xdr:rowOff>95250</xdr:rowOff>
    </xdr:from>
    <xdr:ext cx="4705350" cy="2962275"/>
    <xdr:graphicFrame>
      <xdr:nvGraphicFramePr>
        <xdr:cNvPr id="77478439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12</xdr:col>
      <xdr:colOff>742950</xdr:colOff>
      <xdr:row>8</xdr:row>
      <xdr:rowOff>323850</xdr:rowOff>
    </xdr:from>
    <xdr:ext cx="8610600" cy="2895600"/>
    <xdr:pic>
      <xdr:nvPicPr>
        <xdr:cNvPr id="0" name="image6.png"/>
        <xdr:cNvPicPr preferRelativeResize="0"/>
      </xdr:nvPicPr>
      <xdr:blipFill>
        <a:blip cstate="print" r:embed="rId2"/>
        <a:stretch>
          <a:fillRect/>
        </a:stretch>
      </xdr:blipFill>
      <xdr:spPr>
        <a:prstGeom prst="rect">
          <a:avLst/>
        </a:prstGeom>
        <a:noFill/>
      </xdr:spPr>
    </xdr:pic>
    <xdr:clientData fLocksWithSheet="0"/>
  </xdr:oneCellAnchor>
  <xdr:oneCellAnchor>
    <xdr:from>
      <xdr:col>22</xdr:col>
      <xdr:colOff>285750</xdr:colOff>
      <xdr:row>8</xdr:row>
      <xdr:rowOff>247650</xdr:rowOff>
    </xdr:from>
    <xdr:ext cx="10096500" cy="3362325"/>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11</xdr:col>
      <xdr:colOff>314325</xdr:colOff>
      <xdr:row>88</xdr:row>
      <xdr:rowOff>47625</xdr:rowOff>
    </xdr:from>
    <xdr:ext cx="7581900" cy="42291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oneCellAnchor>
    <xdr:from>
      <xdr:col>19</xdr:col>
      <xdr:colOff>333375</xdr:colOff>
      <xdr:row>90</xdr:row>
      <xdr:rowOff>161925</xdr:rowOff>
    </xdr:from>
    <xdr:ext cx="8705850" cy="3819525"/>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85725</xdr:colOff>
      <xdr:row>18</xdr:row>
      <xdr:rowOff>47625</xdr:rowOff>
    </xdr:from>
    <xdr:ext cx="7038975" cy="2171700"/>
    <xdr:graphicFrame>
      <xdr:nvGraphicFramePr>
        <xdr:cNvPr id="861533850" name="Chart 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3743325</xdr:colOff>
      <xdr:row>4</xdr:row>
      <xdr:rowOff>9525</xdr:rowOff>
    </xdr:from>
    <xdr:ext cx="6429375" cy="1914525"/>
    <xdr:pic>
      <xdr:nvPicPr>
        <xdr:cNvPr id="0" name="image9.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266700</xdr:colOff>
      <xdr:row>5</xdr:row>
      <xdr:rowOff>28575</xdr:rowOff>
    </xdr:from>
    <xdr:ext cx="4819650" cy="733425"/>
    <xdr:pic>
      <xdr:nvPicPr>
        <xdr:cNvPr descr="Chart&#10;&#10;Description automatically generated" id="0" name="image7.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8</xdr:row>
      <xdr:rowOff>19050</xdr:rowOff>
    </xdr:from>
    <xdr:ext cx="5505450" cy="2828925"/>
    <xdr:graphicFrame>
      <xdr:nvGraphicFramePr>
        <xdr:cNvPr id="1276710206" name="Chart 3"/>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819150</xdr:colOff>
      <xdr:row>4</xdr:row>
      <xdr:rowOff>152400</xdr:rowOff>
    </xdr:from>
    <xdr:ext cx="5153025" cy="2895600"/>
    <xdr:graphicFrame>
      <xdr:nvGraphicFramePr>
        <xdr:cNvPr id="724028483" name="Chart 4"/>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314325</xdr:colOff>
      <xdr:row>5</xdr:row>
      <xdr:rowOff>723900</xdr:rowOff>
    </xdr:from>
    <xdr:ext cx="5086350" cy="1676400"/>
    <xdr:graphicFrame>
      <xdr:nvGraphicFramePr>
        <xdr:cNvPr id="1383838281" name="Chart 5"/>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66675</xdr:colOff>
      <xdr:row>2</xdr:row>
      <xdr:rowOff>200025</xdr:rowOff>
    </xdr:from>
    <xdr:ext cx="5133975" cy="876300"/>
    <xdr:graphicFrame>
      <xdr:nvGraphicFramePr>
        <xdr:cNvPr id="503787846" name="Chart 6"/>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8</xdr:col>
      <xdr:colOff>295275</xdr:colOff>
      <xdr:row>2</xdr:row>
      <xdr:rowOff>209550</xdr:rowOff>
    </xdr:from>
    <xdr:ext cx="5429250" cy="904875"/>
    <xdr:graphicFrame>
      <xdr:nvGraphicFramePr>
        <xdr:cNvPr id="1016095814" name="Chart 8"/>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2</xdr:col>
      <xdr:colOff>57150</xdr:colOff>
      <xdr:row>5</xdr:row>
      <xdr:rowOff>1038225</xdr:rowOff>
    </xdr:from>
    <xdr:ext cx="5143500" cy="2276475"/>
    <xdr:graphicFrame>
      <xdr:nvGraphicFramePr>
        <xdr:cNvPr id="1181809853" name="Chart 9"/>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13</xdr:row>
      <xdr:rowOff>38100</xdr:rowOff>
    </xdr:from>
    <xdr:ext cx="5429250" cy="2571750"/>
    <xdr:graphicFrame>
      <xdr:nvGraphicFramePr>
        <xdr:cNvPr id="954005864" name="Chart 7"/>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6</xdr:col>
      <xdr:colOff>457200</xdr:colOff>
      <xdr:row>34</xdr:row>
      <xdr:rowOff>47625</xdr:rowOff>
    </xdr:from>
    <xdr:ext cx="7943850" cy="3362325"/>
    <xdr:pic>
      <xdr:nvPicPr>
        <xdr:cNvPr id="0" name="image8.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0" width="8.78"/>
    <col customWidth="1" min="11" max="11" width="21.44"/>
    <col customWidth="1" min="12" max="17" width="8.78"/>
    <col customWidth="1" min="18" max="18" width="0.78"/>
    <col customWidth="1" min="19" max="32" width="8.78"/>
  </cols>
  <sheetData>
    <row r="1">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ht="170.25" customHeight="1">
      <c r="A3" s="7"/>
      <c r="B3" s="7"/>
      <c r="C3" s="7"/>
      <c r="D3" s="7"/>
      <c r="E3" s="7"/>
      <c r="F3" s="7"/>
      <c r="G3" s="7"/>
      <c r="H3" s="7"/>
      <c r="I3" s="7"/>
      <c r="J3" s="7"/>
      <c r="K3" s="19" t="s">
        <v>4</v>
      </c>
      <c r="L3" s="22"/>
      <c r="M3" s="22"/>
      <c r="N3" s="22"/>
      <c r="O3" s="22"/>
      <c r="P3" s="22"/>
      <c r="Q3" s="24"/>
      <c r="R3" s="7"/>
      <c r="S3" s="7"/>
      <c r="T3" s="7"/>
      <c r="U3" s="7"/>
      <c r="V3" s="7"/>
      <c r="W3" s="7"/>
      <c r="X3" s="7"/>
      <c r="Y3" s="7"/>
      <c r="Z3" s="7"/>
      <c r="AA3" s="7"/>
      <c r="AB3" s="7"/>
      <c r="AC3" s="7"/>
      <c r="AD3" s="7"/>
      <c r="AE3" s="7"/>
      <c r="AF3" s="7"/>
    </row>
    <row r="4">
      <c r="A4" s="7"/>
      <c r="B4" s="7"/>
      <c r="C4" s="7"/>
      <c r="D4" s="7"/>
      <c r="E4" s="7"/>
      <c r="F4" s="7"/>
      <c r="G4" s="7"/>
      <c r="H4" s="7"/>
      <c r="I4" s="7"/>
      <c r="J4" s="7"/>
      <c r="K4" s="28"/>
      <c r="Q4" s="29"/>
      <c r="R4" s="7"/>
      <c r="S4" s="7"/>
      <c r="T4" s="7"/>
      <c r="U4" s="7"/>
      <c r="V4" s="7"/>
      <c r="W4" s="7"/>
      <c r="X4" s="7"/>
      <c r="Y4" s="7"/>
      <c r="Z4" s="7"/>
      <c r="AA4" s="7"/>
      <c r="AB4" s="7"/>
      <c r="AC4" s="7"/>
      <c r="AD4" s="7"/>
      <c r="AE4" s="7"/>
      <c r="AF4" s="7"/>
    </row>
    <row r="5">
      <c r="A5" s="7"/>
      <c r="B5" s="7"/>
      <c r="C5" s="7"/>
      <c r="D5" s="7"/>
      <c r="E5" s="7"/>
      <c r="F5" s="7"/>
      <c r="G5" s="7"/>
      <c r="H5" s="7"/>
      <c r="I5" s="7"/>
      <c r="J5" s="7"/>
      <c r="K5" s="28"/>
      <c r="Q5" s="29"/>
      <c r="R5" s="7"/>
      <c r="S5" s="7"/>
      <c r="T5" s="7"/>
      <c r="U5" s="7"/>
      <c r="V5" s="7"/>
      <c r="W5" s="7"/>
      <c r="X5" s="7"/>
      <c r="Y5" s="7"/>
      <c r="Z5" s="7"/>
      <c r="AA5" s="7"/>
      <c r="AB5" s="7"/>
      <c r="AC5" s="7"/>
      <c r="AD5" s="7"/>
      <c r="AE5" s="7"/>
      <c r="AF5" s="7"/>
    </row>
    <row r="6">
      <c r="A6" s="7"/>
      <c r="B6" s="7"/>
      <c r="C6" s="7"/>
      <c r="D6" s="7"/>
      <c r="E6" s="7"/>
      <c r="F6" s="7"/>
      <c r="G6" s="7"/>
      <c r="H6" s="7"/>
      <c r="I6" s="7"/>
      <c r="J6" s="7"/>
      <c r="K6" s="28"/>
      <c r="Q6" s="29"/>
      <c r="R6" s="7"/>
      <c r="S6" s="7"/>
      <c r="T6" s="7"/>
      <c r="U6" s="7"/>
      <c r="V6" s="7"/>
      <c r="W6" s="7"/>
      <c r="X6" s="7"/>
      <c r="Y6" s="7"/>
      <c r="Z6" s="7"/>
      <c r="AA6" s="7"/>
      <c r="AB6" s="7"/>
      <c r="AC6" s="7"/>
      <c r="AD6" s="7"/>
      <c r="AE6" s="7"/>
      <c r="AF6" s="7"/>
    </row>
    <row r="7" ht="98.25" customHeight="1">
      <c r="A7" s="7"/>
      <c r="B7" s="7"/>
      <c r="C7" s="7"/>
      <c r="D7" s="7"/>
      <c r="E7" s="7"/>
      <c r="F7" s="7"/>
      <c r="G7" s="7"/>
      <c r="H7" s="7"/>
      <c r="I7" s="7"/>
      <c r="J7" s="7"/>
      <c r="K7" s="33"/>
      <c r="L7" s="34"/>
      <c r="M7" s="34"/>
      <c r="N7" s="34"/>
      <c r="O7" s="34"/>
      <c r="P7" s="34"/>
      <c r="Q7" s="35"/>
      <c r="R7" s="7"/>
      <c r="S7" s="7"/>
      <c r="T7" s="7"/>
      <c r="U7" s="7"/>
      <c r="V7" s="7"/>
      <c r="W7" s="7"/>
      <c r="X7" s="7"/>
      <c r="Y7" s="7"/>
      <c r="Z7" s="7"/>
      <c r="AA7" s="7"/>
      <c r="AB7" s="7"/>
      <c r="AC7" s="7"/>
      <c r="AD7" s="7"/>
      <c r="AE7" s="7"/>
      <c r="AF7" s="7"/>
    </row>
    <row r="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row>
    <row r="9">
      <c r="A9" s="7"/>
      <c r="B9" s="7"/>
      <c r="C9" s="7"/>
      <c r="D9" s="7"/>
      <c r="E9" s="7"/>
      <c r="F9" s="7"/>
      <c r="G9" s="7"/>
      <c r="H9" s="7"/>
      <c r="I9" s="7"/>
      <c r="J9" s="7"/>
      <c r="K9" s="39" t="s">
        <v>12</v>
      </c>
      <c r="L9" s="39" t="s">
        <v>13</v>
      </c>
      <c r="M9" s="41"/>
      <c r="N9" s="41"/>
      <c r="O9" s="41"/>
      <c r="P9" s="41"/>
      <c r="Q9" s="41"/>
      <c r="R9" s="7"/>
      <c r="S9" s="7"/>
      <c r="T9" s="7"/>
      <c r="U9" s="7"/>
      <c r="V9" s="7"/>
      <c r="W9" s="7"/>
      <c r="X9" s="7"/>
      <c r="Y9" s="7"/>
      <c r="Z9" s="7"/>
      <c r="AA9" s="7"/>
      <c r="AB9" s="7"/>
      <c r="AC9" s="7"/>
      <c r="AD9" s="7"/>
      <c r="AE9" s="7"/>
      <c r="AF9" s="7"/>
    </row>
    <row r="10">
      <c r="A10" s="7"/>
      <c r="B10" s="7"/>
      <c r="C10" s="7"/>
      <c r="D10" s="7"/>
      <c r="E10" s="7"/>
      <c r="F10" s="7"/>
      <c r="G10" s="7"/>
      <c r="H10" s="7"/>
      <c r="I10" s="7"/>
      <c r="J10" s="7"/>
      <c r="K10" s="43" t="s">
        <v>16</v>
      </c>
      <c r="L10" s="43" t="s">
        <v>17</v>
      </c>
      <c r="M10" s="41"/>
      <c r="N10" s="41"/>
      <c r="O10" s="41"/>
      <c r="P10" s="41"/>
      <c r="Q10" s="41"/>
      <c r="R10" s="7"/>
      <c r="S10" s="7"/>
      <c r="T10" s="7"/>
      <c r="U10" s="7"/>
      <c r="V10" s="7"/>
      <c r="W10" s="7"/>
      <c r="X10" s="7"/>
      <c r="Y10" s="7"/>
      <c r="Z10" s="7"/>
      <c r="AA10" s="7"/>
      <c r="AB10" s="7"/>
      <c r="AC10" s="7"/>
      <c r="AD10" s="7"/>
      <c r="AE10" s="7"/>
      <c r="AF10" s="7"/>
    </row>
    <row r="11" ht="30.75" customHeight="1">
      <c r="A11" s="7"/>
      <c r="B11" s="7"/>
      <c r="C11" s="7"/>
      <c r="D11" s="7"/>
      <c r="E11" s="7"/>
      <c r="F11" s="7"/>
      <c r="G11" s="7"/>
      <c r="H11" s="7"/>
      <c r="I11" s="7"/>
      <c r="J11" s="7"/>
      <c r="K11" s="43" t="s">
        <v>19</v>
      </c>
      <c r="L11" s="45" t="s">
        <v>20</v>
      </c>
      <c r="M11" s="37"/>
      <c r="N11" s="37"/>
      <c r="O11" s="37"/>
      <c r="P11" s="37"/>
      <c r="Q11" s="37"/>
      <c r="R11" s="46"/>
      <c r="S11" s="7"/>
      <c r="T11" s="7"/>
      <c r="U11" s="7"/>
      <c r="V11" s="7"/>
      <c r="W11" s="7"/>
      <c r="X11" s="7"/>
      <c r="Y11" s="7"/>
      <c r="Z11" s="7"/>
      <c r="AA11" s="7"/>
      <c r="AB11" s="7"/>
      <c r="AC11" s="7"/>
      <c r="AD11" s="7"/>
      <c r="AE11" s="7"/>
      <c r="AF11" s="7"/>
    </row>
    <row r="12" ht="30.75" customHeight="1">
      <c r="A12" s="7"/>
      <c r="B12" s="7"/>
      <c r="C12" s="7"/>
      <c r="D12" s="7"/>
      <c r="E12" s="7"/>
      <c r="F12" s="7"/>
      <c r="G12" s="7"/>
      <c r="H12" s="7"/>
      <c r="I12" s="7"/>
      <c r="J12" s="7"/>
      <c r="K12" s="43" t="s">
        <v>23</v>
      </c>
      <c r="L12" s="45" t="s">
        <v>24</v>
      </c>
      <c r="M12" s="37"/>
      <c r="N12" s="37"/>
      <c r="O12" s="37"/>
      <c r="P12" s="37"/>
      <c r="Q12" s="37"/>
      <c r="R12" s="46"/>
      <c r="S12" s="7"/>
      <c r="T12" s="7"/>
      <c r="U12" s="7"/>
      <c r="V12" s="7"/>
      <c r="W12" s="7"/>
      <c r="X12" s="7"/>
      <c r="Y12" s="7"/>
      <c r="Z12" s="7"/>
      <c r="AA12" s="7"/>
      <c r="AB12" s="7"/>
      <c r="AC12" s="7"/>
      <c r="AD12" s="7"/>
      <c r="AE12" s="7"/>
      <c r="AF12" s="7"/>
    </row>
    <row r="13">
      <c r="A13" s="7"/>
      <c r="B13" s="7"/>
      <c r="C13" s="7"/>
      <c r="D13" s="7"/>
      <c r="E13" s="7"/>
      <c r="F13" s="7"/>
      <c r="G13" s="7"/>
      <c r="H13" s="7"/>
      <c r="I13" s="7"/>
      <c r="J13" s="7"/>
      <c r="K13" s="49"/>
      <c r="L13" s="50"/>
      <c r="M13" s="41"/>
      <c r="N13" s="41"/>
      <c r="O13" s="41"/>
      <c r="P13" s="41"/>
      <c r="Q13" s="41"/>
      <c r="R13" s="7"/>
      <c r="S13" s="7"/>
      <c r="T13" s="7"/>
      <c r="U13" s="7"/>
      <c r="V13" s="7"/>
      <c r="W13" s="7"/>
      <c r="X13" s="7"/>
      <c r="Y13" s="7"/>
      <c r="Z13" s="7"/>
      <c r="AA13" s="7"/>
      <c r="AB13" s="7"/>
      <c r="AC13" s="7"/>
      <c r="AD13" s="7"/>
      <c r="AE13" s="7"/>
      <c r="AF13" s="7"/>
    </row>
    <row r="14">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row>
    <row r="1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row>
    <row r="16">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row>
    <row r="17">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row>
    <row r="18">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row>
    <row r="20">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row>
    <row r="2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row>
    <row r="23">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row>
    <row r="24">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row>
    <row r="2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row>
    <row r="27">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row>
    <row r="28">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sheetData>
  <mergeCells count="3">
    <mergeCell ref="K3:Q7"/>
    <mergeCell ref="L11:R11"/>
    <mergeCell ref="L12:R1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1.22" defaultRowHeight="15.0" outlineLevelCol="1"/>
  <cols>
    <col customWidth="1" min="1" max="1" width="35.0"/>
    <col customWidth="1" min="2" max="4" width="15.0"/>
    <col customWidth="1" min="5" max="7" width="13.44"/>
    <col customWidth="1" min="8" max="26" width="10.44"/>
  </cols>
  <sheetData>
    <row r="1">
      <c r="A1" s="1" t="s">
        <v>0</v>
      </c>
      <c r="B1" s="2"/>
      <c r="C1" s="2"/>
      <c r="D1" s="2"/>
      <c r="E1" s="2"/>
      <c r="F1" s="2"/>
      <c r="G1" s="2"/>
      <c r="H1" s="2"/>
      <c r="I1" s="2"/>
      <c r="J1" s="2"/>
      <c r="K1" s="2"/>
    </row>
    <row r="2">
      <c r="A2" s="2"/>
      <c r="B2" s="2"/>
      <c r="C2" s="2"/>
      <c r="D2" s="2"/>
      <c r="E2" s="2"/>
      <c r="F2" s="2"/>
      <c r="G2" s="2"/>
      <c r="H2" s="2"/>
      <c r="I2" s="2"/>
      <c r="J2" s="2"/>
      <c r="K2" s="2"/>
    </row>
    <row r="4">
      <c r="A4" s="1"/>
      <c r="B4" s="8" t="s">
        <v>1</v>
      </c>
      <c r="C4" s="9"/>
      <c r="D4" s="10"/>
      <c r="E4" s="12" t="s">
        <v>2</v>
      </c>
      <c r="F4" s="9"/>
      <c r="G4" s="10"/>
      <c r="H4" s="14"/>
      <c r="I4" s="16" t="s">
        <v>3</v>
      </c>
      <c r="J4" s="9"/>
      <c r="K4" s="10"/>
    </row>
    <row r="5">
      <c r="A5" s="1"/>
      <c r="B5" s="18" t="s">
        <v>5</v>
      </c>
      <c r="C5" s="20" t="s">
        <v>6</v>
      </c>
      <c r="D5" s="23" t="s">
        <v>7</v>
      </c>
      <c r="E5" s="18" t="s">
        <v>5</v>
      </c>
      <c r="F5" s="20" t="s">
        <v>6</v>
      </c>
      <c r="G5" s="23" t="s">
        <v>7</v>
      </c>
      <c r="H5" s="18"/>
      <c r="I5" s="20" t="s">
        <v>5</v>
      </c>
      <c r="J5" s="20" t="s">
        <v>6</v>
      </c>
      <c r="K5" s="23" t="s">
        <v>7</v>
      </c>
    </row>
    <row r="6">
      <c r="A6" s="26" t="s">
        <v>8</v>
      </c>
      <c r="B6" s="27"/>
      <c r="C6" s="27"/>
      <c r="D6" s="27"/>
      <c r="E6" s="27"/>
      <c r="F6" s="27"/>
      <c r="G6" s="27"/>
      <c r="H6" s="27"/>
      <c r="I6" s="27"/>
      <c r="J6" s="27"/>
      <c r="K6" s="27"/>
    </row>
    <row r="7">
      <c r="A7" s="30" t="s">
        <v>9</v>
      </c>
      <c r="B7" s="47">
        <f t="array" ref="B7">INDEX(Summary!B$5:B$44,MATCH($M7,Summary!$A$5:$A$44,0))</f>
        <v>470</v>
      </c>
      <c r="C7" s="54">
        <f t="array" ref="C7">INDEX(Summary!C$5:C$44,MATCH($M7,Summary!$A$5:$A$44,0))</f>
        <v>720</v>
      </c>
      <c r="D7" s="54">
        <f t="array" ref="D7">INDEX(Summary!D$5:D$44,MATCH($M7,Summary!$A$5:$A$44,0))</f>
        <v>800</v>
      </c>
      <c r="E7" s="65">
        <f t="array" ref="E7">INDEX(Summary!E$5:E$44,MATCH($M7,Summary!$A$5:$A$44,0))</f>
        <v>0</v>
      </c>
      <c r="F7" s="72">
        <f t="array" ref="F7">INDEX(Summary!F$5:F$44,MATCH($M7,Summary!$A$5:$A$44,0))</f>
        <v>0</v>
      </c>
      <c r="G7" s="80">
        <f t="array" ref="G7">INDEX(Summary!G$5:G$44,MATCH($M7,Summary!$A$5:$A$44,0))</f>
        <v>0</v>
      </c>
      <c r="H7" s="54" t="str">
        <f t="array" ref="H7">INDEX(Summary!AJ$5:AJ$44,MATCH($M7,Summary!$A$5:$A$44,0))</f>
        <v>Multiply</v>
      </c>
      <c r="I7" s="89">
        <f>IF($H7="Multiply",(1-B7/MeanDomesticGasBill),1)</f>
        <v>0.9524107323</v>
      </c>
      <c r="J7" s="89">
        <f>IF($H7="Multiply",(1-C7/MeanDomesticGasBill),1)</f>
        <v>0.927097292</v>
      </c>
      <c r="K7" s="96">
        <f>IF($H7="Multiply",(1-D7/MeanDomesticGasBill),1)</f>
        <v>0.9189969911</v>
      </c>
      <c r="M7" s="97" t="s">
        <v>33</v>
      </c>
      <c r="P7" s="98" t="s">
        <v>34</v>
      </c>
    </row>
    <row r="8">
      <c r="A8" s="100" t="s">
        <v>35</v>
      </c>
      <c r="B8" s="112">
        <f t="array" ref="B8">INDEX(Summary!B$5:B$44,MATCH($M8,Summary!$A$5:$A$44,0))</f>
        <v>30</v>
      </c>
      <c r="C8" s="114">
        <f t="array" ref="C8">INDEX(Summary!C$5:C$44,MATCH($M8,Summary!$A$5:$A$44,0))</f>
        <v>90</v>
      </c>
      <c r="D8" s="114">
        <f t="array" ref="D8">INDEX(Summary!D$5:D$44,MATCH($M8,Summary!$A$5:$A$44,0))</f>
        <v>180</v>
      </c>
      <c r="E8" s="122">
        <f t="array" ref="E8">INDEX(Summary!E$5:E$44,MATCH($M8,Summary!$A$5:$A$44,0))</f>
        <v>50</v>
      </c>
      <c r="F8" s="125">
        <f t="array" ref="F8">INDEX(Summary!F$5:F$44,MATCH($M8,Summary!$A$5:$A$44,0))</f>
        <v>160</v>
      </c>
      <c r="G8" s="128">
        <f t="array" ref="G8">INDEX(Summary!G$5:G$44,MATCH($M8,Summary!$A$5:$A$44,0))</f>
        <v>300</v>
      </c>
      <c r="H8" s="114" t="str">
        <f t="array" ref="H8">INDEX(Summary!AJ$5:AJ$44,MATCH($M8,Summary!$A$5:$A$44,0))</f>
        <v>Add</v>
      </c>
      <c r="I8" s="134">
        <f>IF($H8="Multiply",(1-B8/MeanDomesticGasBill),1)</f>
        <v>1</v>
      </c>
      <c r="J8" s="134">
        <f>IF($H8="Multiply",(1-C8/MeanDomesticGasBill),1)</f>
        <v>1</v>
      </c>
      <c r="K8" s="141">
        <f>IF($H8="Multiply",(1-D8/MeanDomesticGasBill),1)</f>
        <v>1</v>
      </c>
      <c r="M8" s="97" t="s">
        <v>65</v>
      </c>
    </row>
    <row r="9">
      <c r="A9" s="100" t="s">
        <v>66</v>
      </c>
      <c r="B9" s="112">
        <f t="array" ref="B9">INDEX(Summary!$B$5:B$44,MATCH($M9,Summary!$A$5:$A$44,0))</f>
        <v>2.573529412</v>
      </c>
      <c r="C9" s="114">
        <f t="array" ref="C9">INDEX(Summary!C$5:C$44,MATCH($M9,Summary!$A$5:$A$44,0))</f>
        <v>92.64705882</v>
      </c>
      <c r="D9" s="114">
        <f t="array" ref="D9">INDEX(Summary!D$5:D$44,MATCH($M9,Summary!$A$5:$A$44,0))</f>
        <v>466.6666667</v>
      </c>
      <c r="E9" s="122">
        <f t="array" ref="E9">INDEX(Summary!E$5:E$44,MATCH($M9,Summary!$A$5:$A$44,0))</f>
        <v>0</v>
      </c>
      <c r="F9" s="125">
        <f t="array" ref="F9">INDEX(Summary!F$5:F$44,MATCH($M9,Summary!$A$5:$A$44,0))</f>
        <v>0</v>
      </c>
      <c r="G9" s="128">
        <f t="array" ref="G9">INDEX(Summary!G$5:G$44,MATCH($M9,Summary!$A$5:$A$44,0))</f>
        <v>0</v>
      </c>
      <c r="H9" s="114" t="str">
        <f t="array" ref="H9">INDEX(Summary!AJ$5:AJ$44,MATCH($M9,Summary!$A$5:$A$44,0))</f>
        <v>Add</v>
      </c>
      <c r="I9" s="134">
        <f>IF($H9="Multiply",(1-B9/MeanDomesticGasBill),1)</f>
        <v>1</v>
      </c>
      <c r="J9" s="134">
        <f>IF($H9="Multiply",(1-C9/MeanDomesticGasBill),1)</f>
        <v>1</v>
      </c>
      <c r="K9" s="141">
        <f>IF($H9="Multiply",(1-D9/MeanDomesticGasBill),1)</f>
        <v>1</v>
      </c>
      <c r="M9" s="97" t="s">
        <v>66</v>
      </c>
    </row>
    <row r="10">
      <c r="A10" s="175" t="s">
        <v>83</v>
      </c>
      <c r="B10" s="181">
        <f t="array" ref="B10">INDEX(Summary!B$5:B$44,MATCH($M10,Summary!$A$5:$A$44,0))</f>
        <v>0</v>
      </c>
      <c r="C10" s="182">
        <f t="array" ref="C10">INDEX(Summary!C$5:C$44,MATCH($M10,Summary!$A$5:$A$44,0))</f>
        <v>510</v>
      </c>
      <c r="D10" s="182">
        <f t="array" ref="D10">INDEX(Summary!D$5:D$44,MATCH($M10,Summary!$A$5:$A$44,0))</f>
        <v>1010</v>
      </c>
      <c r="E10" s="189">
        <f t="array" ref="E10">INDEX(Summary!E$5:E$44,MATCH($M10,Summary!$A$5:$A$44,0))</f>
        <v>0</v>
      </c>
      <c r="F10" s="193">
        <f t="array" ref="F10">INDEX(Summary!F$5:F$44,MATCH($M10,Summary!$A$5:$A$44,0))</f>
        <v>850</v>
      </c>
      <c r="G10" s="200">
        <f t="array" ref="G10">INDEX(Summary!G$5:G$44,MATCH($M10,Summary!$A$5:$A$44,0))</f>
        <v>1700</v>
      </c>
      <c r="H10" s="182" t="str">
        <f t="array" ref="H10">INDEX(Summary!AJ$5:AJ$44,MATCH($M10,Summary!$A$5:$A$44,0))</f>
        <v>Multiply</v>
      </c>
      <c r="I10" s="206">
        <f>IF($H10="Multiply",(1-B10/MeanDomesticGasBill),1)</f>
        <v>1</v>
      </c>
      <c r="J10" s="206">
        <f>IF($H10="Multiply",(1-C10/MeanDomesticGasBill),1)</f>
        <v>0.9483605818</v>
      </c>
      <c r="K10" s="209">
        <f>IF($H10="Multiply",(1-D10/MeanDomesticGasBill),1)</f>
        <v>0.8977337013</v>
      </c>
      <c r="M10" s="97" t="s">
        <v>83</v>
      </c>
    </row>
    <row r="11">
      <c r="A11" s="210"/>
      <c r="B11" s="27"/>
      <c r="C11" s="27"/>
      <c r="D11" s="27"/>
      <c r="E11" s="169"/>
      <c r="F11" s="169"/>
      <c r="G11" s="213"/>
      <c r="H11" s="152"/>
      <c r="I11" s="27"/>
      <c r="J11" s="27"/>
      <c r="K11" s="214"/>
    </row>
    <row r="12">
      <c r="A12" s="215" t="s">
        <v>91</v>
      </c>
      <c r="B12" s="218">
        <f t="shared" ref="B12:G12" si="1">SUMIFS(B7:B10,$H7:$H10,"Add")</f>
        <v>32.57352941</v>
      </c>
      <c r="C12" s="219">
        <f t="shared" si="1"/>
        <v>182.6470588</v>
      </c>
      <c r="D12" s="221">
        <f t="shared" si="1"/>
        <v>646.6666667</v>
      </c>
      <c r="E12" s="222">
        <f t="shared" si="1"/>
        <v>50</v>
      </c>
      <c r="F12" s="222">
        <f t="shared" si="1"/>
        <v>160</v>
      </c>
      <c r="G12" s="223">
        <f t="shared" si="1"/>
        <v>300</v>
      </c>
      <c r="H12" s="224" t="s">
        <v>93</v>
      </c>
      <c r="I12" s="147"/>
      <c r="J12" s="147"/>
      <c r="K12" s="225"/>
      <c r="P12" s="98" t="s">
        <v>96</v>
      </c>
    </row>
    <row r="13">
      <c r="A13" s="226" t="s">
        <v>97</v>
      </c>
      <c r="B13" s="228">
        <f>1-B12/MeanDomesticGasBill</f>
        <v>0.9967018076</v>
      </c>
      <c r="C13" s="231">
        <f>1-C12/MeanDomesticGasBill</f>
        <v>0.9815062983</v>
      </c>
      <c r="D13" s="235">
        <f>1-D12/MeanDomesticGasBill</f>
        <v>0.9345225678</v>
      </c>
      <c r="E13" s="238">
        <f>1-E12/MeanDomesticOilBill</f>
        <v>0.9969857638</v>
      </c>
      <c r="F13" s="238">
        <f>1-F12/MeanDomesticOilBill</f>
        <v>0.990354444</v>
      </c>
      <c r="G13" s="242">
        <f>1-G12/MeanDomesticOilBill</f>
        <v>0.9819145826</v>
      </c>
      <c r="H13" s="152"/>
      <c r="I13" s="27"/>
      <c r="J13" s="27"/>
      <c r="K13" s="170"/>
    </row>
    <row r="14">
      <c r="A14" s="210" t="s">
        <v>116</v>
      </c>
      <c r="B14" s="228">
        <f t="shared" ref="B14:D14" si="2">PRODUCT(B13,I7:I10)</f>
        <v>0.9492694985</v>
      </c>
      <c r="C14" s="231">
        <f t="shared" si="2"/>
        <v>0.8629624482</v>
      </c>
      <c r="D14" s="235">
        <f t="shared" si="2"/>
        <v>0.7709947347</v>
      </c>
      <c r="E14" s="238">
        <f t="shared" ref="E14:G14" si="3">PRODUCT(E13,I7:I10)</f>
        <v>0.9495399413</v>
      </c>
      <c r="F14" s="238">
        <f t="shared" si="3"/>
        <v>0.8707419372</v>
      </c>
      <c r="G14" s="242">
        <f t="shared" si="3"/>
        <v>0.8100938374</v>
      </c>
      <c r="H14" s="152"/>
      <c r="I14" s="27"/>
      <c r="J14" s="27"/>
      <c r="K14" s="170"/>
    </row>
    <row r="15">
      <c r="A15" s="246" t="s">
        <v>117</v>
      </c>
      <c r="B15" s="247">
        <f t="shared" ref="B15:G15" si="4">1-B14</f>
        <v>0.05073050152</v>
      </c>
      <c r="C15" s="249">
        <f t="shared" si="4"/>
        <v>0.1370375518</v>
      </c>
      <c r="D15" s="250">
        <f t="shared" si="4"/>
        <v>0.2290052653</v>
      </c>
      <c r="E15" s="251">
        <f t="shared" si="4"/>
        <v>0.05046005866</v>
      </c>
      <c r="F15" s="251">
        <f t="shared" si="4"/>
        <v>0.1292580628</v>
      </c>
      <c r="G15" s="253">
        <f t="shared" si="4"/>
        <v>0.1899061626</v>
      </c>
      <c r="H15" s="254" t="s">
        <v>120</v>
      </c>
      <c r="I15" s="195"/>
      <c r="J15" s="195"/>
      <c r="K15" s="196"/>
    </row>
    <row r="16">
      <c r="A16" s="256" t="s">
        <v>121</v>
      </c>
      <c r="B16" s="261">
        <f>ROUND(MeanDomesticGasBill*(1-B14)*gasPricePerkWh/100,-1)</f>
        <v>40</v>
      </c>
      <c r="C16" s="261">
        <f>ROUND(MeanDomesticGasBill*(1-C14)*gasPricePerkWh/100,-1)</f>
        <v>110</v>
      </c>
      <c r="D16" s="261">
        <f>ROUND(MeanDomesticGasBill*(1-D14)*gasPricePerkWh/100,-1)</f>
        <v>180</v>
      </c>
      <c r="E16" s="261">
        <f>ROUND(MeanDomesticGasBill*(1-E14)*oilPricePerkWh/100,-1)</f>
        <v>50</v>
      </c>
      <c r="F16" s="261">
        <f>ROUND(MeanDomesticGasBill*(1-F14)*oilPricePerkWh/100,-1)</f>
        <v>120</v>
      </c>
      <c r="G16" s="261">
        <f>ROUND(MeanDomesticGasBill*(1-G14)*oilPricePerkWh/100,-1)</f>
        <v>180</v>
      </c>
      <c r="H16" s="271"/>
      <c r="I16" s="27"/>
      <c r="J16" s="27"/>
      <c r="K16" s="27"/>
    </row>
    <row r="17">
      <c r="E17" s="272"/>
      <c r="F17" s="272"/>
      <c r="G17" s="272"/>
    </row>
    <row r="18">
      <c r="A18" s="26" t="s">
        <v>128</v>
      </c>
      <c r="C18" s="26"/>
      <c r="E18" s="272"/>
      <c r="F18" s="274"/>
      <c r="G18" s="272"/>
    </row>
    <row r="19">
      <c r="A19" s="276" t="s">
        <v>130</v>
      </c>
      <c r="B19" s="47">
        <f t="array" ref="B19">INDEX(Summary!B$5:B$44,MATCH($M19,Summary!$A$5:$A$44,0))</f>
        <v>80</v>
      </c>
      <c r="C19" s="54">
        <f t="array" ref="C19">INDEX(Summary!C$5:C$44,MATCH($M19,Summary!$A$5:$A$44,0))</f>
        <v>230</v>
      </c>
      <c r="D19" s="54">
        <f t="array" ref="D19">INDEX(Summary!D$5:D$44,MATCH($M19,Summary!$A$5:$A$44,0))</f>
        <v>390</v>
      </c>
      <c r="E19" s="65">
        <f t="array" ref="E19">INDEX(Summary!E$5:E$44,MATCH($M19,Summary!$A$5:$A$44,0))</f>
        <v>230</v>
      </c>
      <c r="F19" s="72">
        <f t="array" ref="F19">INDEX(Summary!F$5:F$44,MATCH($M19,Summary!$A$5:$A$44,0))</f>
        <v>430</v>
      </c>
      <c r="G19" s="72">
        <f t="array" ref="G19">INDEX(Summary!G$5:G$44,MATCH($M19,Summary!$A$5:$A$44,0))</f>
        <v>590</v>
      </c>
      <c r="H19" s="54" t="str">
        <f t="array" ref="H19">INDEX(Summary!AJ$5:AJ$44,MATCH($M19,Summary!$A$5:$A$44,0))</f>
        <v>Add</v>
      </c>
      <c r="I19" s="89">
        <f>IF($H19="Multiply",(1-E19/MeanDomesticGasBill),1)</f>
        <v>1</v>
      </c>
      <c r="J19" s="89">
        <f>IF($H19="Multiply",(1-F19/MeanDomesticGasBill),1)</f>
        <v>1</v>
      </c>
      <c r="K19" s="96">
        <f>IF($H19="Multiply",(1-G19/MeanDomesticGasBill),1)</f>
        <v>1</v>
      </c>
      <c r="M19" s="97" t="s">
        <v>130</v>
      </c>
    </row>
    <row r="20">
      <c r="A20" s="311" t="s">
        <v>35</v>
      </c>
      <c r="B20" s="112">
        <f t="array" ref="B20">INDEX(Summary!B$5:B$44,MATCH($M20,Summary!$A$5:$A$44,0))</f>
        <v>30</v>
      </c>
      <c r="C20" s="114">
        <f t="array" ref="C20">INDEX(Summary!C$5:C$44,MATCH($M20,Summary!$A$5:$A$44,0))</f>
        <v>90</v>
      </c>
      <c r="D20" s="114">
        <f t="array" ref="D20">INDEX(Summary!D$5:D$44,MATCH($M20,Summary!$A$5:$A$44,0))</f>
        <v>180</v>
      </c>
      <c r="E20" s="122">
        <f t="array" ref="E20">INDEX(Summary!E$5:E$44,MATCH($M20,Summary!$A$5:$A$44,0))</f>
        <v>50</v>
      </c>
      <c r="F20" s="125">
        <f t="array" ref="F20">INDEX(Summary!F$5:F$44,MATCH($M20,Summary!$A$5:$A$44,0))</f>
        <v>160</v>
      </c>
      <c r="G20" s="125">
        <f t="array" ref="G20">INDEX(Summary!G$5:G$44,MATCH($M20,Summary!$A$5:$A$44,0))</f>
        <v>300</v>
      </c>
      <c r="H20" s="114" t="str">
        <f t="array" ref="H20">INDEX(Summary!AJ$5:AJ$44,MATCH($M20,Summary!$A$5:$A$44,0))</f>
        <v>Add</v>
      </c>
      <c r="I20" s="134">
        <f>IF($H20="Multiply",(1-E20/MeanDomesticGasBill),1)</f>
        <v>1</v>
      </c>
      <c r="J20" s="134">
        <f>IF($H20="Multiply",(1-F20/MeanDomesticGasBill),1)</f>
        <v>1</v>
      </c>
      <c r="K20" s="141">
        <f>IF($H20="Multiply",(1-G20/MeanDomesticGasBill),1)</f>
        <v>1</v>
      </c>
      <c r="M20" s="97" t="s">
        <v>65</v>
      </c>
    </row>
    <row r="21">
      <c r="A21" s="336" t="s">
        <v>83</v>
      </c>
      <c r="B21" s="181">
        <f t="array" ref="B21">INDEX(Summary!B$5:B$44,MATCH($M21,Summary!$A$5:$A$44,0))</f>
        <v>0</v>
      </c>
      <c r="C21" s="182">
        <f t="array" ref="C21">INDEX(Summary!C$5:C$44,MATCH($M21,Summary!$A$5:$A$44,0))</f>
        <v>510</v>
      </c>
      <c r="D21" s="182">
        <f t="array" ref="D21">INDEX(Summary!D$5:D$44,MATCH($M21,Summary!$A$5:$A$44,0))</f>
        <v>1010</v>
      </c>
      <c r="E21" s="189">
        <f t="array" ref="E21">INDEX(Summary!E$5:E$44,MATCH($M21,Summary!$A$5:$A$44,0))</f>
        <v>0</v>
      </c>
      <c r="F21" s="193">
        <f t="array" ref="F21">INDEX(Summary!F$5:F$44,MATCH($M21,Summary!$A$5:$A$44,0))</f>
        <v>850</v>
      </c>
      <c r="G21" s="193">
        <f t="array" ref="G21">INDEX(Summary!G$5:G$44,MATCH($M21,Summary!$A$5:$A$44,0))</f>
        <v>1700</v>
      </c>
      <c r="H21" s="182" t="str">
        <f t="array" ref="H21">INDEX(Summary!AJ$5:AJ$44,MATCH($M21,Summary!$A$5:$A$44,0))</f>
        <v>Multiply</v>
      </c>
      <c r="I21" s="206">
        <f>IF($H21="Multiply",(1-B21/MeanDomesticGasBill),1)</f>
        <v>1</v>
      </c>
      <c r="J21" s="206">
        <f>IF($H21="Multiply",(1-C21/MeanDomesticGasBill),1)</f>
        <v>0.9483605818</v>
      </c>
      <c r="K21" s="209">
        <f>IF($H21="Multiply",(1-D21/MeanDomesticGasBill),1)</f>
        <v>0.8977337013</v>
      </c>
      <c r="M21" s="97" t="s">
        <v>83</v>
      </c>
    </row>
    <row r="22">
      <c r="A22" s="210"/>
      <c r="E22" s="272"/>
      <c r="F22" s="272"/>
      <c r="G22" s="364"/>
    </row>
    <row r="23">
      <c r="A23" s="366" t="s">
        <v>193</v>
      </c>
      <c r="B23" s="218">
        <f t="shared" ref="B23:G23" si="5">SUMIFS(B19:B21,$H19:$H21,"Add")</f>
        <v>110</v>
      </c>
      <c r="C23" s="219">
        <f t="shared" si="5"/>
        <v>320</v>
      </c>
      <c r="D23" s="221">
        <f t="shared" si="5"/>
        <v>570</v>
      </c>
      <c r="E23" s="371">
        <f t="shared" si="5"/>
        <v>280</v>
      </c>
      <c r="F23" s="222">
        <f t="shared" si="5"/>
        <v>590</v>
      </c>
      <c r="G23" s="223">
        <f t="shared" si="5"/>
        <v>890</v>
      </c>
      <c r="H23" s="215" t="s">
        <v>93</v>
      </c>
      <c r="I23" s="145"/>
      <c r="J23" s="145"/>
      <c r="K23" s="374"/>
    </row>
    <row r="24">
      <c r="A24" s="375" t="str">
        <f t="shared" ref="A24:A26" si="6">A13</f>
        <v>Multiply factor, after adding savings, for measures combined by adding together</v>
      </c>
      <c r="B24" s="228">
        <f>1-B23/MeanDomesticGasBill</f>
        <v>0.9888620863</v>
      </c>
      <c r="C24" s="231">
        <f>1-C23/MeanDomesticGasBill</f>
        <v>0.9675987964</v>
      </c>
      <c r="D24" s="235">
        <f>1-D23/MeanDomesticGasBill</f>
        <v>0.9422853562</v>
      </c>
      <c r="E24" s="384">
        <f>1-E23/MeanDomesticOilBill</f>
        <v>0.9831202771</v>
      </c>
      <c r="F24" s="238">
        <f>1-F23/MeanDomesticOilBill</f>
        <v>0.9644320124</v>
      </c>
      <c r="G24" s="242">
        <f>1-G23/MeanDomesticOilBill</f>
        <v>0.946346595</v>
      </c>
      <c r="H24" s="210"/>
      <c r="K24" s="163"/>
    </row>
    <row r="25">
      <c r="A25" s="385" t="str">
        <f t="shared" si="6"/>
        <v>Apply multiplicative savings</v>
      </c>
      <c r="B25" s="228">
        <f t="shared" ref="B25:D25" si="7">PRODUCT(B24,I19:I21)</f>
        <v>0.9888620863</v>
      </c>
      <c r="C25" s="231">
        <f t="shared" si="7"/>
        <v>0.9176325576</v>
      </c>
      <c r="D25" s="235">
        <f t="shared" si="7"/>
        <v>0.8459213205</v>
      </c>
      <c r="E25" s="384">
        <f t="shared" ref="E25:G25" si="8">PRODUCT(E24,I19:I21)</f>
        <v>0.9831202771</v>
      </c>
      <c r="F25" s="238">
        <f t="shared" si="8"/>
        <v>0.9146293044</v>
      </c>
      <c r="G25" s="242">
        <f t="shared" si="8"/>
        <v>0.8495672314</v>
      </c>
      <c r="H25" s="210"/>
      <c r="K25" s="163"/>
    </row>
    <row r="26">
      <c r="A26" s="392" t="str">
        <f t="shared" si="6"/>
        <v>Bill savings as proportion of bill</v>
      </c>
      <c r="B26" s="247">
        <f t="shared" ref="B26:G26" si="9">1-B25</f>
        <v>0.01113791372</v>
      </c>
      <c r="C26" s="249">
        <f t="shared" si="9"/>
        <v>0.08236744241</v>
      </c>
      <c r="D26" s="250">
        <f t="shared" si="9"/>
        <v>0.1540786795</v>
      </c>
      <c r="E26" s="394">
        <f t="shared" si="9"/>
        <v>0.01687972293</v>
      </c>
      <c r="F26" s="251">
        <f t="shared" si="9"/>
        <v>0.08537069559</v>
      </c>
      <c r="G26" s="253">
        <f t="shared" si="9"/>
        <v>0.1504327686</v>
      </c>
      <c r="H26" s="254" t="s">
        <v>120</v>
      </c>
      <c r="I26" s="195"/>
      <c r="J26" s="195"/>
      <c r="K26" s="196"/>
    </row>
    <row r="27">
      <c r="A27" s="256" t="s">
        <v>121</v>
      </c>
      <c r="B27" s="261">
        <f>ROUND(MeanDomesticGasBill*(1-B25)*gasPricePerkWh/100,-1)</f>
        <v>10</v>
      </c>
      <c r="C27" s="261">
        <f>ROUND(MeanDomesticGasBill*(1-C25)*gasPricePerkWh/100,-1)</f>
        <v>60</v>
      </c>
      <c r="D27" s="261">
        <f>ROUND(MeanDomesticGasBill*(1-D25)*gasPricePerkWh/100,-1)</f>
        <v>120</v>
      </c>
      <c r="E27" s="261">
        <f>ROUND(MeanDomesticGasBill*(1-E25)*oilPricePerkWh/100,-1)</f>
        <v>20</v>
      </c>
      <c r="F27" s="261">
        <f>ROUND(MeanDomesticGasBill*(1-F25)*oilPricePerkWh/100,-1)</f>
        <v>80</v>
      </c>
      <c r="G27" s="261">
        <f>ROUND(MeanDomesticGasBill*(1-G25)*oilPricePerkWh/100,-1)</f>
        <v>140</v>
      </c>
      <c r="H27" s="271"/>
      <c r="I27" s="27"/>
      <c r="J27" s="27"/>
      <c r="K27" s="27"/>
    </row>
    <row r="28">
      <c r="E28" s="272"/>
      <c r="F28" s="272"/>
      <c r="G28" s="272"/>
    </row>
    <row r="29">
      <c r="A29" s="26" t="s">
        <v>213</v>
      </c>
      <c r="B29" s="27"/>
      <c r="C29" s="27"/>
      <c r="D29" s="27"/>
      <c r="E29" s="169"/>
      <c r="F29" s="169"/>
      <c r="G29" s="169"/>
      <c r="H29" s="27"/>
      <c r="I29" s="27"/>
      <c r="J29" s="27"/>
      <c r="K29" s="27"/>
    </row>
    <row r="30">
      <c r="A30" s="30" t="s">
        <v>214</v>
      </c>
      <c r="B30" s="47">
        <f t="array" ref="B30">INDEX(Summary!B$5:B$44,MATCH($M30,Summary!$A$5:$A$44,0))</f>
        <v>540</v>
      </c>
      <c r="C30" s="54">
        <f t="array" ref="C30">INDEX(Summary!C$5:C$44,MATCH($M30,Summary!$A$5:$A$44,0))</f>
        <v>710</v>
      </c>
      <c r="D30" s="421">
        <f t="array" ref="D30">INDEX(Summary!D$5:D$44,MATCH($M30,Summary!$A$5:$A$44,0))</f>
        <v>800</v>
      </c>
      <c r="E30" s="65">
        <f t="array" ref="E30">INDEX(Summary!E$5:E$44,MATCH($M30,Summary!$A$5:$A$44,0))</f>
        <v>880</v>
      </c>
      <c r="F30" s="72">
        <f t="array" ref="F30">INDEX(Summary!F$5:F$44,MATCH($M30,Summary!$A$5:$A$44,0))</f>
        <v>1150</v>
      </c>
      <c r="G30" s="80">
        <f t="array" ref="G30">INDEX(Summary!G$5:G$44,MATCH($M30,Summary!$A$5:$A$44,0))</f>
        <v>1290</v>
      </c>
      <c r="H30" s="47" t="str">
        <f t="array" ref="H30">INDEX(Summary!AJ$5:AJ$44,MATCH($M30,Summary!$A$5:$A$44,0))</f>
        <v>Add</v>
      </c>
      <c r="I30" s="89">
        <f>IF($H30="Multiply",(1-B30/MeanDomesticGasBill),1)</f>
        <v>1</v>
      </c>
      <c r="J30" s="89">
        <f>IF($H30="Multiply",(1-C30/MeanDomesticGasBill),1)</f>
        <v>1</v>
      </c>
      <c r="K30" s="96">
        <f>IF($H30="Multiply",(1-D30/MeanDomesticGasBill),1)</f>
        <v>1</v>
      </c>
      <c r="M30" s="97" t="s">
        <v>244</v>
      </c>
    </row>
    <row r="31">
      <c r="A31" s="100" t="s">
        <v>245</v>
      </c>
      <c r="B31" s="112">
        <f t="array" ref="B31">INDEX(Summary!B$5:B$44,MATCH($M31,Summary!$A$5:$A$44,0))</f>
        <v>220</v>
      </c>
      <c r="C31" s="114">
        <f t="array" ref="C31">INDEX(Summary!C$5:C$44,MATCH($M31,Summary!$A$5:$A$44,0))</f>
        <v>480</v>
      </c>
      <c r="D31" s="446">
        <f t="array" ref="D31">INDEX(Summary!D$5:D$44,MATCH($M31,Summary!$A$5:$A$44,0))</f>
        <v>740</v>
      </c>
      <c r="E31" s="122">
        <f t="array" ref="E31">INDEX(Summary!E$5:E$44,MATCH($M31,Summary!$A$5:$A$44,0))</f>
        <v>400</v>
      </c>
      <c r="F31" s="125">
        <f t="array" ref="F31">INDEX(Summary!F$5:F$44,MATCH($M31,Summary!$A$5:$A$44,0))</f>
        <v>870</v>
      </c>
      <c r="G31" s="128">
        <f t="array" ref="G31">INDEX(Summary!G$5:G$44,MATCH($M31,Summary!$A$5:$A$44,0))</f>
        <v>1340</v>
      </c>
      <c r="H31" s="112" t="str">
        <f t="array" ref="H31">INDEX(Summary!AJ$5:AJ$44,MATCH($M31,Summary!$A$5:$A$44,0))</f>
        <v>Multiply</v>
      </c>
      <c r="I31" s="134">
        <f>IF($H31="Multiply",(1-B31/MeanDomesticGasBill),1)</f>
        <v>0.9777241726</v>
      </c>
      <c r="J31" s="134">
        <f>IF($H31="Multiply",(1-C31/MeanDomesticGasBill),1)</f>
        <v>0.9513981947</v>
      </c>
      <c r="K31" s="141">
        <f>IF($H31="Multiply",(1-D31/MeanDomesticGasBill),1)</f>
        <v>0.9250722168</v>
      </c>
      <c r="M31" s="97" t="s">
        <v>260</v>
      </c>
    </row>
    <row r="32">
      <c r="A32" s="100" t="s">
        <v>261</v>
      </c>
      <c r="B32" s="112">
        <f t="array" ref="B32">INDEX(Summary!B$5:B$44,MATCH($M32,Summary!$A$5:$A$44,0))</f>
        <v>250</v>
      </c>
      <c r="C32" s="114">
        <f t="array" ref="C32">INDEX(Summary!C$5:C$44,MATCH($M32,Summary!$A$5:$A$44,0))</f>
        <v>380</v>
      </c>
      <c r="D32" s="446">
        <f t="array" ref="D32">INDEX(Summary!D$5:D$44,MATCH($M32,Summary!$A$5:$A$44,0))</f>
        <v>500</v>
      </c>
      <c r="E32" s="122">
        <f t="array" ref="E32">INDEX(Summary!E$5:E$44,MATCH($M32,Summary!$A$5:$A$44,0))</f>
        <v>440</v>
      </c>
      <c r="F32" s="125">
        <f t="array" ref="F32">INDEX(Summary!F$5:F$44,MATCH($M32,Summary!$A$5:$A$44,0))</f>
        <v>650</v>
      </c>
      <c r="G32" s="128">
        <f t="array" ref="G32">INDEX(Summary!G$5:G$44,MATCH($M32,Summary!$A$5:$A$44,0))</f>
        <v>860</v>
      </c>
      <c r="H32" s="112" t="str">
        <f t="array" ref="H32">INDEX(Summary!AJ$5:AJ$44,MATCH($M32,Summary!$A$5:$A$44,0))</f>
        <v>Add</v>
      </c>
      <c r="I32" s="134">
        <f>IF($H32="Multiply",(1-B32/MeanDomesticGasBill),1)</f>
        <v>1</v>
      </c>
      <c r="J32" s="134">
        <f>IF($H32="Multiply",(1-C32/MeanDomesticGasBill),1)</f>
        <v>1</v>
      </c>
      <c r="K32" s="141">
        <f>IF($H32="Multiply",(1-D32/MeanDomesticGasBill),1)</f>
        <v>1</v>
      </c>
      <c r="M32" s="97" t="s">
        <v>261</v>
      </c>
    </row>
    <row r="33">
      <c r="A33" s="493" t="s">
        <v>291</v>
      </c>
      <c r="B33" s="181">
        <f t="array" ref="B33">INDEX(Summary!B$5:B$44,MATCH($M33,Summary!$A$5:$A$44,0))</f>
        <v>220</v>
      </c>
      <c r="C33" s="182">
        <f t="array" ref="C33">INDEX(Summary!C$5:C$44,MATCH($M33,Summary!$A$5:$A$44,0))</f>
        <v>320</v>
      </c>
      <c r="D33" s="510">
        <f t="array" ref="D33">INDEX(Summary!D$5:D$44,MATCH($M33,Summary!$A$5:$A$44,0))</f>
        <v>420</v>
      </c>
      <c r="E33" s="189">
        <f t="array" ref="E33">INDEX(Summary!E$5:E$44,MATCH($M33,Summary!$A$5:$A$44,0))</f>
        <v>0</v>
      </c>
      <c r="F33" s="193">
        <f t="array" ref="F33">INDEX(Summary!F$5:F$44,MATCH($M33,Summary!$A$5:$A$44,0))</f>
        <v>0</v>
      </c>
      <c r="G33" s="200">
        <f t="array" ref="G33">INDEX(Summary!G$5:G$44,MATCH($M33,Summary!$A$5:$A$44,0))</f>
        <v>0</v>
      </c>
      <c r="H33" s="181" t="str">
        <f t="array" ref="H33">INDEX(Summary!AJ$5:AJ$44,MATCH($M33,Summary!$A$5:$A$44,0))</f>
        <v>Multiply</v>
      </c>
      <c r="I33" s="206">
        <f>IF($H33="Multiply",(1-B33/MeanDomesticGasBill),1)</f>
        <v>0.9777241726</v>
      </c>
      <c r="J33" s="206">
        <f>IF($H33="Multiply",(1-C33/MeanDomesticGasBill),1)</f>
        <v>0.9675987964</v>
      </c>
      <c r="K33" s="209">
        <f>IF($H33="Multiply",(1-D33/MeanDomesticGasBill),1)</f>
        <v>0.9574734203</v>
      </c>
      <c r="M33" s="97" t="s">
        <v>259</v>
      </c>
    </row>
    <row r="34">
      <c r="A34" s="210"/>
      <c r="B34" s="27"/>
      <c r="C34" s="27"/>
      <c r="D34" s="27"/>
      <c r="E34" s="169"/>
      <c r="F34" s="169"/>
      <c r="G34" s="169"/>
      <c r="H34" s="27"/>
      <c r="I34" s="27"/>
      <c r="J34" s="27"/>
      <c r="K34" s="27"/>
    </row>
    <row r="35">
      <c r="A35" s="215" t="str">
        <f t="shared" ref="A35:A38" si="11">A23</f>
        <v>Sum of added measures</v>
      </c>
      <c r="B35" s="218">
        <f t="shared" ref="B35:G35" si="10">SUMIFS(B30:B33,$H30:$H33,"Add")</f>
        <v>790</v>
      </c>
      <c r="C35" s="219">
        <f t="shared" si="10"/>
        <v>1090</v>
      </c>
      <c r="D35" s="221">
        <f t="shared" si="10"/>
        <v>1300</v>
      </c>
      <c r="E35" s="222">
        <f t="shared" si="10"/>
        <v>1320</v>
      </c>
      <c r="F35" s="222">
        <f t="shared" si="10"/>
        <v>1800</v>
      </c>
      <c r="G35" s="223">
        <f t="shared" si="10"/>
        <v>2150</v>
      </c>
      <c r="H35" s="224" t="s">
        <v>93</v>
      </c>
      <c r="I35" s="147"/>
      <c r="J35" s="147"/>
      <c r="K35" s="225"/>
    </row>
    <row r="36">
      <c r="A36" s="226" t="str">
        <f t="shared" si="11"/>
        <v>Multiply factor, after adding savings, for measures combined by adding together</v>
      </c>
      <c r="B36" s="228">
        <f>1-B35/MeanDomesticGasBill</f>
        <v>0.9200095287</v>
      </c>
      <c r="C36" s="231">
        <f>1-C35/MeanDomesticGasBill</f>
        <v>0.8896334004</v>
      </c>
      <c r="D36" s="235">
        <f>1-D35/MeanDomesticGasBill</f>
        <v>0.8683701106</v>
      </c>
      <c r="E36" s="238">
        <f>1-E35/MeanDomesticOilBill</f>
        <v>0.9204241633</v>
      </c>
      <c r="F36" s="238">
        <f>1-F35/MeanDomesticOilBill</f>
        <v>0.8914874954</v>
      </c>
      <c r="G36" s="242">
        <f>1-G35/MeanDomesticOilBill</f>
        <v>0.8703878418</v>
      </c>
      <c r="H36" s="152"/>
      <c r="I36" s="27"/>
      <c r="J36" s="27"/>
      <c r="K36" s="170"/>
    </row>
    <row r="37">
      <c r="A37" s="210" t="str">
        <f t="shared" si="11"/>
        <v>Apply multiplicative savings</v>
      </c>
      <c r="B37" s="228">
        <f t="shared" ref="B37:D37" si="12">PRODUCT(B36,I30:I33)</f>
        <v>0.8794781019</v>
      </c>
      <c r="C37" s="231">
        <f t="shared" si="12"/>
        <v>0.8189713746</v>
      </c>
      <c r="D37" s="235">
        <f t="shared" si="12"/>
        <v>0.7691432464</v>
      </c>
      <c r="E37" s="238">
        <f t="shared" ref="E37:G37" si="13">PRODUCT(E36,I30:I33)</f>
        <v>0.8798744696</v>
      </c>
      <c r="F37" s="238">
        <f t="shared" si="13"/>
        <v>0.8206782021</v>
      </c>
      <c r="G37" s="242">
        <f t="shared" si="13"/>
        <v>0.7709304156</v>
      </c>
      <c r="H37" s="152"/>
      <c r="I37" s="27"/>
      <c r="J37" s="27"/>
      <c r="K37" s="170"/>
    </row>
    <row r="38">
      <c r="A38" s="246" t="str">
        <f t="shared" si="11"/>
        <v>Bill savings as proportion of bill</v>
      </c>
      <c r="B38" s="247">
        <f t="shared" ref="B38:G38" si="14">1-B37</f>
        <v>0.1205218981</v>
      </c>
      <c r="C38" s="249">
        <f t="shared" si="14"/>
        <v>0.1810286254</v>
      </c>
      <c r="D38" s="250">
        <f t="shared" si="14"/>
        <v>0.2308567536</v>
      </c>
      <c r="E38" s="251">
        <f t="shared" si="14"/>
        <v>0.1201255304</v>
      </c>
      <c r="F38" s="251">
        <f t="shared" si="14"/>
        <v>0.1793217979</v>
      </c>
      <c r="G38" s="253">
        <f t="shared" si="14"/>
        <v>0.2290695844</v>
      </c>
      <c r="H38" s="254" t="s">
        <v>120</v>
      </c>
      <c r="I38" s="195"/>
      <c r="J38" s="195"/>
      <c r="K38" s="196"/>
    </row>
    <row r="39">
      <c r="A39" s="256" t="s">
        <v>121</v>
      </c>
      <c r="B39" s="261">
        <f>ROUND(MeanDomesticGasBill*(1-B37)*gasPricePerkWh/100,-1)</f>
        <v>90</v>
      </c>
      <c r="C39" s="261">
        <f>ROUND(MeanDomesticGasBill*(1-C37)*gasPricePerkWh/100,-1)</f>
        <v>140</v>
      </c>
      <c r="D39" s="261">
        <f>ROUND(MeanDomesticGasBill*(1-D37)*gasPricePerkWh/100,-1)</f>
        <v>180</v>
      </c>
      <c r="E39" s="261">
        <f>ROUND(MeanDomesticGasBill*(1-E37)*oilPricePerkWh/100,-1)</f>
        <v>110</v>
      </c>
      <c r="F39" s="261">
        <f>ROUND(MeanDomesticGasBill*(1-F37)*oilPricePerkWh/100,-1)</f>
        <v>170</v>
      </c>
      <c r="G39" s="261">
        <f>ROUND(MeanDomesticGasBill*(1-G37)*oilPricePerkWh/100,-1)</f>
        <v>220</v>
      </c>
      <c r="H39" s="271"/>
      <c r="I39" s="27"/>
      <c r="J39" s="27"/>
      <c r="K39" s="27"/>
    </row>
    <row r="40">
      <c r="E40" s="272"/>
      <c r="F40" s="272"/>
      <c r="G40" s="272"/>
    </row>
    <row r="41">
      <c r="A41" s="26" t="s">
        <v>300</v>
      </c>
      <c r="B41" s="27"/>
      <c r="C41" s="27"/>
      <c r="D41" s="27"/>
      <c r="E41" s="169"/>
      <c r="F41" s="169"/>
      <c r="G41" s="169"/>
      <c r="H41" s="27"/>
      <c r="I41" s="27"/>
      <c r="J41" s="27"/>
      <c r="K41" s="27"/>
    </row>
    <row r="42">
      <c r="A42" s="30" t="s">
        <v>301</v>
      </c>
      <c r="B42" s="47">
        <f t="array" ref="B42">INDEX(Summary!B$5:B$44,MATCH($M42,Summary!$A$5:$A$44,0))</f>
        <v>690</v>
      </c>
      <c r="C42" s="54">
        <f t="array" ref="C42">INDEX(Summary!C$5:C$44,MATCH($M42,Summary!$A$5:$A$44,0))</f>
        <v>1010</v>
      </c>
      <c r="D42" s="421">
        <f t="array" ref="D42">INDEX(Summary!D$5:D$44,MATCH($M42,Summary!$A$5:$A$44,0))</f>
        <v>1330</v>
      </c>
      <c r="E42" s="72">
        <f t="array" ref="E42">INDEX(Summary!E$5:E$44,MATCH($M42,Summary!$A$5:$A$44,0))</f>
        <v>1160</v>
      </c>
      <c r="F42" s="72">
        <f t="array" ref="F42">INDEX(Summary!F$5:F$44,MATCH($M42,Summary!$A$5:$A$44,0))</f>
        <v>1700</v>
      </c>
      <c r="G42" s="80">
        <f t="array" ref="G42">INDEX(Summary!G$5:G$44,MATCH($M42,Summary!$A$5:$A$44,0))</f>
        <v>2240</v>
      </c>
      <c r="H42" s="47" t="str">
        <f t="array" ref="H42">INDEX(Summary!AJ$5:AJ$44,MATCH($M42,Summary!$A$5:$A$44,0))</f>
        <v>Multiply</v>
      </c>
      <c r="I42" s="89">
        <f>IF($H42="Multiply",(1-B42/MeanDomesticGasBill),1)</f>
        <v>0.9301349048</v>
      </c>
      <c r="J42" s="89">
        <f>IF($H42="Multiply",(1-C42/MeanDomesticGasBill),1)</f>
        <v>0.8977337013</v>
      </c>
      <c r="K42" s="96">
        <f>IF($H42="Multiply",(1-D42/MeanDomesticGasBill),1)</f>
        <v>0.8653324977</v>
      </c>
      <c r="M42" s="97" t="s">
        <v>309</v>
      </c>
    </row>
    <row r="43">
      <c r="A43" s="100" t="s">
        <v>245</v>
      </c>
      <c r="B43" s="112">
        <f t="array" ref="B43">INDEX(Summary!B$5:B$44,MATCH($M43,Summary!$A$5:$A$44,0))</f>
        <v>220</v>
      </c>
      <c r="C43" s="114">
        <f t="array" ref="C43">INDEX(Summary!C$5:C$44,MATCH($M43,Summary!$A$5:$A$44,0))</f>
        <v>480</v>
      </c>
      <c r="D43" s="446">
        <f t="array" ref="D43">INDEX(Summary!D$5:D$44,MATCH($M43,Summary!$A$5:$A$44,0))</f>
        <v>740</v>
      </c>
      <c r="E43" s="125">
        <f t="array" ref="E43">INDEX(Summary!E$5:E$44,MATCH($M43,Summary!$A$5:$A$44,0))</f>
        <v>400</v>
      </c>
      <c r="F43" s="125">
        <f t="array" ref="F43">INDEX(Summary!F$5:F$44,MATCH($M43,Summary!$A$5:$A$44,0))</f>
        <v>870</v>
      </c>
      <c r="G43" s="128">
        <f t="array" ref="G43">INDEX(Summary!G$5:G$44,MATCH($M43,Summary!$A$5:$A$44,0))</f>
        <v>1340</v>
      </c>
      <c r="H43" s="112" t="str">
        <f t="array" ref="H43">INDEX(Summary!AJ$5:AJ$44,MATCH($M43,Summary!$A$5:$A$44,0))</f>
        <v>Multiply</v>
      </c>
      <c r="I43" s="134">
        <f>IF($H43="Multiply",(1-B43/MeanDomesticGasBill),1)</f>
        <v>0.9777241726</v>
      </c>
      <c r="J43" s="134">
        <f>IF($H43="Multiply",(1-C43/MeanDomesticGasBill),1)</f>
        <v>0.9513981947</v>
      </c>
      <c r="K43" s="141">
        <f>IF($H43="Multiply",(1-D43/MeanDomesticGasBill),1)</f>
        <v>0.9250722168</v>
      </c>
      <c r="M43" s="97" t="s">
        <v>260</v>
      </c>
    </row>
    <row r="44">
      <c r="A44" s="100" t="s">
        <v>214</v>
      </c>
      <c r="B44" s="112">
        <f t="array" ref="B44">INDEX(Summary!B$5:B$44,MATCH($M44,Summary!$A$5:$A$44,0))</f>
        <v>540</v>
      </c>
      <c r="C44" s="114">
        <f t="array" ref="C44">INDEX(Summary!C$5:C$44,MATCH($M44,Summary!$A$5:$A$44,0))</f>
        <v>710</v>
      </c>
      <c r="D44" s="446">
        <f t="array" ref="D44">INDEX(Summary!D$5:D$44,MATCH($M44,Summary!$A$5:$A$44,0))</f>
        <v>800</v>
      </c>
      <c r="E44" s="125">
        <f t="array" ref="E44">INDEX(Summary!E$5:E$44,MATCH($M44,Summary!$A$5:$A$44,0))</f>
        <v>880</v>
      </c>
      <c r="F44" s="125">
        <f t="array" ref="F44">INDEX(Summary!F$5:F$44,MATCH($M44,Summary!$A$5:$A$44,0))</f>
        <v>1150</v>
      </c>
      <c r="G44" s="128">
        <f t="array" ref="G44">INDEX(Summary!G$5:G$44,MATCH($M44,Summary!$A$5:$A$44,0))</f>
        <v>1290</v>
      </c>
      <c r="H44" s="112" t="str">
        <f t="array" ref="H44">INDEX(Summary!AJ$5:AJ$44,MATCH($M44,Summary!$A$5:$A$44,0))</f>
        <v>Add</v>
      </c>
      <c r="I44" s="134">
        <f>IF($H44="Multiply",(1-B44/MeanDomesticGasBill),1)</f>
        <v>1</v>
      </c>
      <c r="J44" s="134">
        <f>IF($H44="Multiply",(1-C44/MeanDomesticGasBill),1)</f>
        <v>1</v>
      </c>
      <c r="K44" s="141">
        <f>IF($H44="Multiply",(1-D44/MeanDomesticGasBill),1)</f>
        <v>1</v>
      </c>
      <c r="M44" s="97" t="s">
        <v>244</v>
      </c>
    </row>
    <row r="45">
      <c r="A45" s="493" t="s">
        <v>312</v>
      </c>
      <c r="B45" s="181">
        <f t="array" ref="B45">INDEX(Summary!B$5:B$44,MATCH($M45,Summary!$A$5:$A$44,0))</f>
        <v>670</v>
      </c>
      <c r="C45" s="182">
        <f t="array" ref="C45">INDEX(Summary!C$5:C$44,MATCH($M45,Summary!$A$5:$A$44,0))</f>
        <v>1030</v>
      </c>
      <c r="D45" s="510">
        <f t="array" ref="D45">INDEX(Summary!D$5:D$44,MATCH($M45,Summary!$A$5:$A$44,0))</f>
        <v>1130</v>
      </c>
      <c r="E45" s="193">
        <f t="array" ref="E45">INDEX(Summary!E$5:E$44,MATCH($M45,Summary!$A$5:$A$44,0))</f>
        <v>0</v>
      </c>
      <c r="F45" s="193">
        <f t="array" ref="F45">INDEX(Summary!F$5:F$44,MATCH($M45,Summary!$A$5:$A$44,0))</f>
        <v>0</v>
      </c>
      <c r="G45" s="200">
        <f t="array" ref="G45">INDEX(Summary!G$5:G$44,MATCH($M45,Summary!$A$5:$A$44,0))</f>
        <v>0</v>
      </c>
      <c r="H45" s="181" t="str">
        <f t="array" ref="H45">INDEX(Summary!AJ$5:AJ$44,MATCH($M45,Summary!$A$5:$A$44,0))</f>
        <v>Multiply</v>
      </c>
      <c r="I45" s="206">
        <f>IF($H45="Multiply",(1-B45/MeanDomesticGasBill),1)</f>
        <v>0.9321599801</v>
      </c>
      <c r="J45" s="206">
        <f>IF($H45="Multiply",(1-C45/MeanDomesticGasBill),1)</f>
        <v>0.8957086261</v>
      </c>
      <c r="K45" s="209">
        <f>IF($H45="Multiply",(1-D45/MeanDomesticGasBill),1)</f>
        <v>0.88558325</v>
      </c>
      <c r="M45" s="97" t="s">
        <v>268</v>
      </c>
    </row>
    <row r="46">
      <c r="A46" s="210"/>
      <c r="B46" s="152"/>
      <c r="C46" s="27"/>
      <c r="D46" s="170"/>
      <c r="E46" s="527"/>
      <c r="F46" s="169"/>
      <c r="G46" s="213"/>
      <c r="H46" s="152"/>
      <c r="I46" s="27"/>
      <c r="J46" s="27"/>
      <c r="K46" s="27"/>
    </row>
    <row r="47">
      <c r="A47" s="215" t="s">
        <v>193</v>
      </c>
      <c r="B47" s="218">
        <f t="shared" ref="B47:G47" si="15">SUMIFS(B42:B45,$H42:$H45,"Add")</f>
        <v>540</v>
      </c>
      <c r="C47" s="219">
        <f t="shared" si="15"/>
        <v>710</v>
      </c>
      <c r="D47" s="221">
        <f t="shared" si="15"/>
        <v>800</v>
      </c>
      <c r="E47" s="371">
        <f t="shared" si="15"/>
        <v>880</v>
      </c>
      <c r="F47" s="222">
        <f t="shared" si="15"/>
        <v>1150</v>
      </c>
      <c r="G47" s="223">
        <f t="shared" si="15"/>
        <v>1290</v>
      </c>
      <c r="H47" s="224" t="s">
        <v>93</v>
      </c>
      <c r="I47" s="147"/>
      <c r="J47" s="147"/>
      <c r="K47" s="225"/>
    </row>
    <row r="48">
      <c r="A48" s="226" t="str">
        <f t="shared" ref="A48:A50" si="16">A24</f>
        <v>Multiply factor, after adding savings, for measures combined by adding together</v>
      </c>
      <c r="B48" s="228">
        <f>1-B47/MeanDomesticGasBill</f>
        <v>0.945322969</v>
      </c>
      <c r="C48" s="231">
        <f>1-C47/MeanDomesticGasBill</f>
        <v>0.9281098296</v>
      </c>
      <c r="D48" s="235">
        <f>1-D47/MeanDomesticGasBill</f>
        <v>0.9189969911</v>
      </c>
      <c r="E48" s="384">
        <f>1-E47/MeanDomesticOilBill</f>
        <v>0.9469494422</v>
      </c>
      <c r="F48" s="238">
        <f>1-F47/MeanDomesticOilBill</f>
        <v>0.9306725665</v>
      </c>
      <c r="G48" s="242">
        <f>1-G47/MeanDomesticOilBill</f>
        <v>0.9222327051</v>
      </c>
      <c r="H48" s="152"/>
      <c r="I48" s="27"/>
      <c r="J48" s="27"/>
      <c r="K48" s="170"/>
    </row>
    <row r="49">
      <c r="A49" s="210" t="str">
        <f t="shared" si="16"/>
        <v>Apply multiplicative savings</v>
      </c>
      <c r="B49" s="228">
        <f t="shared" ref="B49:D49" si="17">PRODUCT(B48,I42:I45)</f>
        <v>0.8013697759</v>
      </c>
      <c r="C49" s="231">
        <f t="shared" si="17"/>
        <v>0.7100288266</v>
      </c>
      <c r="D49" s="235">
        <f t="shared" si="17"/>
        <v>0.6514815709</v>
      </c>
      <c r="E49" s="238">
        <f t="shared" ref="E49:G49" si="18">PRODUCT(E48,I42:I45)</f>
        <v>0.8027485708</v>
      </c>
      <c r="F49" s="238">
        <f t="shared" si="18"/>
        <v>0.7119893888</v>
      </c>
      <c r="G49" s="242">
        <f t="shared" si="18"/>
        <v>0.6537753847</v>
      </c>
      <c r="H49" s="152"/>
      <c r="I49" s="27"/>
      <c r="J49" s="27"/>
      <c r="K49" s="170"/>
    </row>
    <row r="50">
      <c r="A50" s="528" t="str">
        <f t="shared" si="16"/>
        <v>Bill savings as proportion of bill</v>
      </c>
      <c r="B50" s="247">
        <f t="shared" ref="B50:G50" si="19">1-B49</f>
        <v>0.1986302241</v>
      </c>
      <c r="C50" s="249">
        <f t="shared" si="19"/>
        <v>0.2899711734</v>
      </c>
      <c r="D50" s="249">
        <f t="shared" si="19"/>
        <v>0.3485184291</v>
      </c>
      <c r="E50" s="394">
        <f t="shared" si="19"/>
        <v>0.1972514292</v>
      </c>
      <c r="F50" s="251">
        <f t="shared" si="19"/>
        <v>0.2880106112</v>
      </c>
      <c r="G50" s="251">
        <f t="shared" si="19"/>
        <v>0.3462246153</v>
      </c>
      <c r="H50" s="254" t="s">
        <v>120</v>
      </c>
      <c r="I50" s="195"/>
      <c r="J50" s="195"/>
      <c r="K50" s="196"/>
    </row>
    <row r="51">
      <c r="A51" s="256" t="s">
        <v>121</v>
      </c>
      <c r="B51" s="261">
        <f>ROUND(MeanDomesticGasBill*(1-B49)*gasPricePerkWh/100,-1)</f>
        <v>160</v>
      </c>
      <c r="C51" s="261">
        <f>ROUND(MeanDomesticGasBill*(1-C49)*gasPricePerkWh/100,-1)</f>
        <v>230</v>
      </c>
      <c r="D51" s="261">
        <f>ROUND(MeanDomesticGasBill*(1-D49)*gasPricePerkWh/100,-1)</f>
        <v>270</v>
      </c>
      <c r="E51" s="261">
        <f>ROUND(MeanDomesticGasBill*(1-E49)*oilPricePerkWh/100,-1)</f>
        <v>190</v>
      </c>
      <c r="F51" s="261">
        <f>ROUND(MeanDomesticGasBill*(1-F49)*oilPricePerkWh/100,-1)</f>
        <v>270</v>
      </c>
      <c r="G51" s="261">
        <f>ROUND(MeanDomesticGasBill*(1-G49)*oilPricePerkWh/100,-1)</f>
        <v>330</v>
      </c>
      <c r="H51" s="271"/>
      <c r="I51" s="27"/>
      <c r="J51" s="27"/>
      <c r="K51" s="27"/>
    </row>
    <row r="52">
      <c r="E52" s="272"/>
      <c r="F52" s="272"/>
      <c r="G52" s="272"/>
    </row>
    <row r="53">
      <c r="A53" s="26" t="s">
        <v>314</v>
      </c>
      <c r="B53" s="27"/>
      <c r="C53" s="27"/>
      <c r="D53" s="27"/>
      <c r="E53" s="169"/>
      <c r="F53" s="169"/>
      <c r="G53" s="169"/>
      <c r="H53" s="195"/>
      <c r="I53" s="27"/>
      <c r="J53" s="27"/>
      <c r="K53" s="27"/>
    </row>
    <row r="54">
      <c r="A54" s="30" t="s">
        <v>315</v>
      </c>
      <c r="B54" s="47">
        <f t="array" ref="B54">INDEX(Summary!B$5:B$44,MATCH($M54,Summary!$A$5:$A$44,0))</f>
        <v>690</v>
      </c>
      <c r="C54" s="54">
        <f t="array" ref="C54">INDEX(Summary!C$5:C$44,MATCH($M54,Summary!$A$5:$A$44,0))</f>
        <v>1010</v>
      </c>
      <c r="D54" s="54">
        <f t="array" ref="D54">INDEX(Summary!D$5:D$44,MATCH($M54,Summary!$A$5:$A$44,0))</f>
        <v>1330</v>
      </c>
      <c r="E54" s="65">
        <f t="array" ref="E54">INDEX(Summary!E$5:E$44,MATCH($M54,Summary!$A$5:$A$44,0))</f>
        <v>1160</v>
      </c>
      <c r="F54" s="72">
        <f t="array" ref="F54">INDEX(Summary!F$5:F$44,MATCH($M54,Summary!$A$5:$A$44,0))</f>
        <v>1700</v>
      </c>
      <c r="G54" s="80">
        <f t="array" ref="G54">INDEX(Summary!G$5:G$44,MATCH($M54,Summary!$A$5:$A$44,0))</f>
        <v>2240</v>
      </c>
      <c r="H54" s="54" t="str">
        <f t="array" ref="H54">INDEX(Summary!AJ$5:AJ$44,MATCH($M54,Summary!$A$5:$A$44,0))</f>
        <v>Multiply</v>
      </c>
      <c r="I54" s="89">
        <f>IF($H54="Multiply",(1-E54/MeanDomesticGasBill),1)</f>
        <v>0.8825456371</v>
      </c>
      <c r="J54" s="89">
        <f>IF($H54="Multiply",(1-F54/MeanDomesticGasBill),1)</f>
        <v>0.8278686061</v>
      </c>
      <c r="K54" s="96">
        <f>IF($H54="Multiply",(1-G54/MeanDomesticGasBill),1)</f>
        <v>0.7731915751</v>
      </c>
      <c r="M54" s="97" t="s">
        <v>309</v>
      </c>
    </row>
    <row r="55">
      <c r="A55" s="531" t="s">
        <v>260</v>
      </c>
      <c r="B55" s="112">
        <f t="array" ref="B55">INDEX(Summary!B$5:B$44,MATCH($M55,Summary!$A$5:$A$44,0))</f>
        <v>220</v>
      </c>
      <c r="C55" s="114">
        <f t="array" ref="C55">INDEX(Summary!C$5:C$44,MATCH($M55,Summary!$A$5:$A$44,0))</f>
        <v>480</v>
      </c>
      <c r="D55" s="114">
        <f t="array" ref="D55">INDEX(Summary!D$5:D$44,MATCH($M55,Summary!$A$5:$A$44,0))</f>
        <v>740</v>
      </c>
      <c r="E55" s="122">
        <f t="array" ref="E55">INDEX(Summary!E$5:E$44,MATCH($M55,Summary!$A$5:$A$44,0))</f>
        <v>400</v>
      </c>
      <c r="F55" s="125">
        <f t="array" ref="F55">INDEX(Summary!F$5:F$44,MATCH($M55,Summary!$A$5:$A$44,0))</f>
        <v>870</v>
      </c>
      <c r="G55" s="128">
        <f t="array" ref="G55">INDEX(Summary!G$5:G$44,MATCH($M55,Summary!$A$5:$A$44,0))</f>
        <v>1340</v>
      </c>
      <c r="H55" s="114" t="str">
        <f t="array" ref="H55">INDEX(Summary!AJ$5:AJ$44,MATCH($M55,Summary!$A$5:$A$44,0))</f>
        <v>Multiply</v>
      </c>
      <c r="I55" s="134">
        <f>IF($H55="Multiply",(1-E55/MeanDomesticGasBill),1)</f>
        <v>0.9594984956</v>
      </c>
      <c r="J55" s="134">
        <f>IF($H55="Multiply",(1-F55/MeanDomesticGasBill),1)</f>
        <v>0.9119092278</v>
      </c>
      <c r="K55" s="141">
        <f>IF($H55="Multiply",(1-G55/MeanDomesticGasBill),1)</f>
        <v>0.8643199601</v>
      </c>
      <c r="M55" s="97" t="s">
        <v>260</v>
      </c>
    </row>
    <row r="56">
      <c r="A56" s="540" t="s">
        <v>214</v>
      </c>
      <c r="B56" s="112">
        <f t="array" ref="B56">INDEX(Summary!B$5:B$44,MATCH($M56,Summary!$A$5:$A$44,0))</f>
        <v>540</v>
      </c>
      <c r="C56" s="114">
        <f t="array" ref="C56">INDEX(Summary!C$5:C$44,MATCH($M56,Summary!$A$5:$A$44,0))</f>
        <v>710</v>
      </c>
      <c r="D56" s="114">
        <f t="array" ref="D56">INDEX(Summary!D$5:D$44,MATCH($M56,Summary!$A$5:$A$44,0))</f>
        <v>800</v>
      </c>
      <c r="E56" s="122">
        <f t="array" ref="E56">INDEX(Summary!E$5:E$44,MATCH($M56,Summary!$A$5:$A$44,0))</f>
        <v>880</v>
      </c>
      <c r="F56" s="125">
        <f t="array" ref="F56">INDEX(Summary!F$5:F$44,MATCH($M56,Summary!$A$5:$A$44,0))</f>
        <v>1150</v>
      </c>
      <c r="G56" s="128">
        <f t="array" ref="G56">INDEX(Summary!G$5:G$44,MATCH($M56,Summary!$A$5:$A$44,0))</f>
        <v>1290</v>
      </c>
      <c r="H56" s="114" t="str">
        <f t="array" ref="H56">INDEX(Summary!AJ$5:AJ$44,MATCH($M56,Summary!$A$5:$A$44,0))</f>
        <v>Add</v>
      </c>
      <c r="I56" s="134">
        <f>IF($H56="Multiply",(1-E56/MeanDomesticGasBill),1)</f>
        <v>1</v>
      </c>
      <c r="J56" s="134">
        <f>IF($H56="Multiply",(1-F56/MeanDomesticGasBill),1)</f>
        <v>1</v>
      </c>
      <c r="K56" s="141">
        <f>IF($H56="Multiply",(1-G56/MeanDomesticGasBill),1)</f>
        <v>1</v>
      </c>
      <c r="M56" s="97" t="s">
        <v>244</v>
      </c>
    </row>
    <row r="57">
      <c r="A57" s="560" t="s">
        <v>372</v>
      </c>
      <c r="B57" s="181">
        <f t="array" ref="B57">INDEX(Summary!B$5:B$44,MATCH($M57,Summary!$A$5:$A$44,0))</f>
        <v>80</v>
      </c>
      <c r="C57" s="182">
        <f t="array" ref="C57">INDEX(Summary!C$5:C$44,MATCH($M57,Summary!$A$5:$A$44,0))</f>
        <v>230</v>
      </c>
      <c r="D57" s="182">
        <f t="array" ref="D57">INDEX(Summary!D$5:D$44,MATCH($M57,Summary!$A$5:$A$44,0))</f>
        <v>390</v>
      </c>
      <c r="E57" s="189">
        <f t="array" ref="E57">INDEX(Summary!E$5:E$44,MATCH($M57,Summary!$A$5:$A$44,0))</f>
        <v>230</v>
      </c>
      <c r="F57" s="193">
        <f t="array" ref="F57">INDEX(Summary!F$5:F$44,MATCH($M57,Summary!$A$5:$A$44,0))</f>
        <v>430</v>
      </c>
      <c r="G57" s="200">
        <f t="array" ref="G57">INDEX(Summary!G$5:G$44,MATCH($M57,Summary!$A$5:$A$44,0))</f>
        <v>590</v>
      </c>
      <c r="H57" s="182" t="str">
        <f t="array" ref="H57">INDEX(Summary!AJ$5:AJ$44,MATCH($M57,Summary!$A$5:$A$44,0))</f>
        <v>Add</v>
      </c>
      <c r="I57" s="206">
        <f>IF($H57="Multiply",(1-E57/MeanDomesticGasBill),1)</f>
        <v>1</v>
      </c>
      <c r="J57" s="206">
        <f>IF($H57="Multiply",(1-F57/MeanDomesticGasBill),1)</f>
        <v>1</v>
      </c>
      <c r="K57" s="209">
        <f>IF($H57="Multiply",(1-G57/MeanDomesticGasBill),1)</f>
        <v>1</v>
      </c>
      <c r="M57" s="97" t="s">
        <v>130</v>
      </c>
    </row>
    <row r="58">
      <c r="A58" s="210"/>
      <c r="B58" s="152"/>
      <c r="C58" s="27"/>
      <c r="D58" s="170"/>
      <c r="E58" s="527"/>
      <c r="F58" s="169"/>
      <c r="G58" s="213"/>
      <c r="H58" s="152"/>
      <c r="I58" s="27"/>
      <c r="J58" s="27"/>
      <c r="K58" s="27"/>
    </row>
    <row r="59">
      <c r="A59" s="215" t="str">
        <f t="shared" ref="A59:A62" si="21">A47</f>
        <v>Sum of added measures</v>
      </c>
      <c r="B59" s="218">
        <f t="shared" ref="B59:G59" si="20">SUMIFS(B54:B57,$H54:$H57,"Add")</f>
        <v>620</v>
      </c>
      <c r="C59" s="219">
        <f t="shared" si="20"/>
        <v>940</v>
      </c>
      <c r="D59" s="221">
        <f t="shared" si="20"/>
        <v>1190</v>
      </c>
      <c r="E59" s="222">
        <f t="shared" si="20"/>
        <v>1110</v>
      </c>
      <c r="F59" s="222">
        <f t="shared" si="20"/>
        <v>1580</v>
      </c>
      <c r="G59" s="222">
        <f t="shared" si="20"/>
        <v>1880</v>
      </c>
      <c r="H59" s="224" t="s">
        <v>93</v>
      </c>
      <c r="I59" s="147"/>
      <c r="J59" s="147"/>
      <c r="K59" s="225"/>
    </row>
    <row r="60">
      <c r="A60" s="226" t="str">
        <f t="shared" si="21"/>
        <v>Multiply factor, after adding savings, for measures combined by adding together</v>
      </c>
      <c r="B60" s="228">
        <f>1-B59/MeanDomesticGasBill</f>
        <v>0.9372226681</v>
      </c>
      <c r="C60" s="231">
        <f>1-C59/MeanDomesticGasBill</f>
        <v>0.9048214646</v>
      </c>
      <c r="D60" s="235">
        <f>1-D59/MeanDomesticGasBill</f>
        <v>0.8795080243</v>
      </c>
      <c r="E60" s="238">
        <f>1-E59/MeanDomesticOilBill</f>
        <v>0.9330839555</v>
      </c>
      <c r="F60" s="238">
        <f>1-F59/MeanDomesticOilBill</f>
        <v>0.9047501349</v>
      </c>
      <c r="G60" s="238">
        <f>1-G59/MeanDomesticOilBill</f>
        <v>0.8866647174</v>
      </c>
      <c r="H60" s="152"/>
      <c r="I60" s="27"/>
      <c r="J60" s="27"/>
      <c r="K60" s="170"/>
    </row>
    <row r="61">
      <c r="A61" s="210" t="str">
        <f t="shared" si="21"/>
        <v>Apply multiplicative savings</v>
      </c>
      <c r="B61" s="228">
        <f t="shared" ref="B61:D61" si="22">PRODUCT(B60,I54:I57)</f>
        <v>0.7936412904</v>
      </c>
      <c r="C61" s="231">
        <f t="shared" si="22"/>
        <v>0.6830868406</v>
      </c>
      <c r="D61" s="235">
        <f t="shared" si="22"/>
        <v>0.5877619421</v>
      </c>
      <c r="E61" s="238">
        <f t="shared" ref="E61:G61" si="23">PRODUCT(E60,I54:I57)</f>
        <v>0.7901366236</v>
      </c>
      <c r="F61" s="238">
        <f t="shared" si="23"/>
        <v>0.6830329909</v>
      </c>
      <c r="G61" s="238">
        <f t="shared" si="23"/>
        <v>0.5925446521</v>
      </c>
      <c r="H61" s="152"/>
      <c r="I61" s="27"/>
      <c r="J61" s="27"/>
      <c r="K61" s="170"/>
    </row>
    <row r="62">
      <c r="A62" s="246" t="str">
        <f t="shared" si="21"/>
        <v>Bill savings as proportion of bill</v>
      </c>
      <c r="B62" s="247">
        <f t="shared" ref="B62:G62" si="24">1-B61</f>
        <v>0.2063587096</v>
      </c>
      <c r="C62" s="249">
        <f t="shared" si="24"/>
        <v>0.3169131594</v>
      </c>
      <c r="D62" s="250">
        <f t="shared" si="24"/>
        <v>0.4122380579</v>
      </c>
      <c r="E62" s="251">
        <f t="shared" si="24"/>
        <v>0.2098633764</v>
      </c>
      <c r="F62" s="251">
        <f t="shared" si="24"/>
        <v>0.3169670091</v>
      </c>
      <c r="G62" s="251">
        <f t="shared" si="24"/>
        <v>0.4074553479</v>
      </c>
      <c r="H62" s="254" t="s">
        <v>120</v>
      </c>
      <c r="I62" s="195"/>
      <c r="J62" s="195"/>
      <c r="K62" s="196"/>
    </row>
    <row r="63">
      <c r="A63" s="256" t="s">
        <v>121</v>
      </c>
      <c r="B63" s="261">
        <f>ROUND(MeanDomesticGasBill*(1-B61)*gasPricePerkWh/100,-1)</f>
        <v>160</v>
      </c>
      <c r="C63" s="261">
        <f>ROUND(MeanDomesticGasBill*(1-C61)*gasPricePerkWh/100,-1)</f>
        <v>250</v>
      </c>
      <c r="D63" s="261">
        <f>ROUND(MeanDomesticGasBill*(1-D61)*gasPricePerkWh/100,-1)</f>
        <v>320</v>
      </c>
      <c r="E63" s="261">
        <f>ROUND(MeanDomesticGasBill*(1-E61)*oilPricePerkWh/100,-1)</f>
        <v>200</v>
      </c>
      <c r="F63" s="261">
        <f>ROUND(MeanDomesticGasBill*(1-F61)*oilPricePerkWh/100,-1)</f>
        <v>300</v>
      </c>
      <c r="G63" s="261">
        <f>ROUND(MeanDomesticGasBill*(1-G61)*oilPricePerkWh/100,-1)</f>
        <v>390</v>
      </c>
      <c r="H63" s="271"/>
      <c r="I63" s="27"/>
      <c r="J63" s="27"/>
      <c r="K63" s="27"/>
    </row>
    <row r="64" ht="15.75" customHeight="1">
      <c r="E64" s="272"/>
      <c r="F64" s="272"/>
      <c r="G64" s="272"/>
    </row>
    <row r="65">
      <c r="A65" s="573" t="s">
        <v>378</v>
      </c>
      <c r="B65" s="195"/>
      <c r="C65" s="195"/>
      <c r="D65" s="195"/>
      <c r="E65" s="574"/>
      <c r="F65" s="574"/>
      <c r="G65" s="574"/>
      <c r="H65" s="195"/>
      <c r="I65" s="195"/>
      <c r="J65" s="195"/>
      <c r="K65" s="195"/>
    </row>
    <row r="66">
      <c r="A66" s="575" t="str">
        <f t="shared" ref="A66:K66" si="25">A7</f>
        <v>Reduce flow temperature to 60°C *</v>
      </c>
      <c r="B66" s="54">
        <f t="shared" si="25"/>
        <v>470</v>
      </c>
      <c r="C66" s="54">
        <f t="shared" si="25"/>
        <v>720</v>
      </c>
      <c r="D66" s="54">
        <f t="shared" si="25"/>
        <v>800</v>
      </c>
      <c r="E66" s="65">
        <f t="shared" si="25"/>
        <v>0</v>
      </c>
      <c r="F66" s="72">
        <f t="shared" si="25"/>
        <v>0</v>
      </c>
      <c r="G66" s="80">
        <f t="shared" si="25"/>
        <v>0</v>
      </c>
      <c r="H66" s="54" t="str">
        <f t="shared" si="25"/>
        <v>Multiply</v>
      </c>
      <c r="I66" s="89">
        <f t="shared" si="25"/>
        <v>0.9524107323</v>
      </c>
      <c r="J66" s="89">
        <f t="shared" si="25"/>
        <v>0.927097292</v>
      </c>
      <c r="K66" s="96">
        <f t="shared" si="25"/>
        <v>0.9189969911</v>
      </c>
    </row>
    <row r="67">
      <c r="A67" s="576" t="str">
        <f t="shared" ref="A67:K67" si="26">A8</f>
        <v>Close curtains at night</v>
      </c>
      <c r="B67" s="114">
        <f t="shared" si="26"/>
        <v>30</v>
      </c>
      <c r="C67" s="114">
        <f t="shared" si="26"/>
        <v>90</v>
      </c>
      <c r="D67" s="114">
        <f t="shared" si="26"/>
        <v>180</v>
      </c>
      <c r="E67" s="122">
        <f t="shared" si="26"/>
        <v>50</v>
      </c>
      <c r="F67" s="125">
        <f t="shared" si="26"/>
        <v>160</v>
      </c>
      <c r="G67" s="128">
        <f t="shared" si="26"/>
        <v>300</v>
      </c>
      <c r="H67" s="114" t="str">
        <f t="shared" si="26"/>
        <v>Add</v>
      </c>
      <c r="I67" s="134">
        <f t="shared" si="26"/>
        <v>1</v>
      </c>
      <c r="J67" s="134">
        <f t="shared" si="26"/>
        <v>1</v>
      </c>
      <c r="K67" s="141">
        <f t="shared" si="26"/>
        <v>1</v>
      </c>
      <c r="M67" s="97"/>
    </row>
    <row r="68">
      <c r="A68" s="576" t="str">
        <f t="shared" ref="A68:K68" si="27">A9</f>
        <v>Turn off pre-heat facility</v>
      </c>
      <c r="B68" s="114">
        <f t="shared" si="27"/>
        <v>2.573529412</v>
      </c>
      <c r="C68" s="114">
        <f t="shared" si="27"/>
        <v>92.64705882</v>
      </c>
      <c r="D68" s="114">
        <f t="shared" si="27"/>
        <v>466.6666667</v>
      </c>
      <c r="E68" s="122">
        <f t="shared" si="27"/>
        <v>0</v>
      </c>
      <c r="F68" s="125">
        <f t="shared" si="27"/>
        <v>0</v>
      </c>
      <c r="G68" s="128">
        <f t="shared" si="27"/>
        <v>0</v>
      </c>
      <c r="H68" s="114" t="str">
        <f t="shared" si="27"/>
        <v>Add</v>
      </c>
      <c r="I68" s="134">
        <f t="shared" si="27"/>
        <v>1</v>
      </c>
      <c r="J68" s="134">
        <f t="shared" si="27"/>
        <v>1</v>
      </c>
      <c r="K68" s="141">
        <f t="shared" si="27"/>
        <v>1</v>
      </c>
      <c r="M68" s="97"/>
    </row>
    <row r="69">
      <c r="A69" s="311" t="s">
        <v>380</v>
      </c>
      <c r="B69" s="114">
        <f>Summary!B11</f>
        <v>717.2004519</v>
      </c>
      <c r="C69" s="114">
        <f>Summary!C11</f>
        <v>843.7652375</v>
      </c>
      <c r="D69" s="114">
        <f>Summary!D11</f>
        <v>1063.144199</v>
      </c>
      <c r="E69" s="122">
        <f>Summary!E11</f>
        <v>1204.604375</v>
      </c>
      <c r="F69" s="125">
        <f>Summary!F11</f>
        <v>1417.181618</v>
      </c>
      <c r="G69" s="128">
        <f>Summary!G11</f>
        <v>1785.648839</v>
      </c>
      <c r="H69" s="578" t="s">
        <v>86</v>
      </c>
      <c r="I69" s="134">
        <f>IF($H69="Multiply",(1-B69/MeanDomesticGasBill),1)</f>
        <v>0.9273807568</v>
      </c>
      <c r="J69" s="134">
        <f>IF($H69="Multiply",(1-C69/MeanDomesticGasBill),1)</f>
        <v>0.9145655962</v>
      </c>
      <c r="K69" s="141">
        <f>IF($H69="Multiply",(1-D69/MeanDomesticGasBill),1)</f>
        <v>0.8923526512</v>
      </c>
      <c r="M69" s="97"/>
    </row>
    <row r="70">
      <c r="A70" s="579" t="s">
        <v>381</v>
      </c>
      <c r="B70" s="114">
        <f>Summary!B15</f>
        <v>536.2305552</v>
      </c>
      <c r="C70" s="114">
        <f>Summary!C15</f>
        <v>595.811728</v>
      </c>
      <c r="D70" s="114">
        <f>Summary!D15</f>
        <v>655.3929008</v>
      </c>
      <c r="E70" s="122">
        <f>Summary!E15/2</f>
        <v>450.3243627</v>
      </c>
      <c r="F70" s="125">
        <f>Summary!F15/2</f>
        <v>500.3604031</v>
      </c>
      <c r="G70" s="128">
        <f>Summary!G15/2</f>
        <v>550.3964434</v>
      </c>
      <c r="H70" s="578" t="s">
        <v>86</v>
      </c>
      <c r="I70" s="134">
        <f>IF($H70="Multiply",(1-B70/MeanDomesticGasBill),1)</f>
        <v>0.9457046395</v>
      </c>
      <c r="J70" s="134">
        <f>IF($H70="Multiply",(1-C70/MeanDomesticGasBill),1)</f>
        <v>0.9396718216</v>
      </c>
      <c r="K70" s="141">
        <f>IF($H70="Multiply",(1-D70/MeanDomesticGasBill),1)</f>
        <v>0.9336390038</v>
      </c>
      <c r="M70" s="97"/>
    </row>
    <row r="71">
      <c r="A71" s="580" t="s">
        <v>382</v>
      </c>
      <c r="B71" s="581">
        <f>VulnerableHouseholdsLikely * propHomesGasCombi</f>
        <v>0.1776775334</v>
      </c>
      <c r="C71" s="182"/>
      <c r="D71" s="182"/>
      <c r="E71" s="189"/>
      <c r="F71" s="193"/>
      <c r="G71" s="200"/>
      <c r="H71" s="582"/>
      <c r="I71" s="206"/>
      <c r="J71" s="206"/>
      <c r="K71" s="209"/>
      <c r="M71" s="97"/>
    </row>
    <row r="72">
      <c r="A72" s="583"/>
      <c r="B72" s="583"/>
      <c r="C72" s="583"/>
      <c r="D72" s="583"/>
      <c r="E72" s="584"/>
      <c r="F72" s="584"/>
      <c r="G72" s="584"/>
      <c r="H72" s="583"/>
    </row>
    <row r="73">
      <c r="A73" s="210" t="str">
        <f t="shared" ref="A73:A76" si="29">A12</f>
        <v>Sum of added measures**</v>
      </c>
      <c r="B73" s="218">
        <f t="shared" ref="B73:G73" si="28">SUMIFS(B66:B70,$H66:$H70,"Add")</f>
        <v>32.57352941</v>
      </c>
      <c r="C73" s="219">
        <f t="shared" si="28"/>
        <v>182.6470588</v>
      </c>
      <c r="D73" s="219">
        <f t="shared" si="28"/>
        <v>646.6666667</v>
      </c>
      <c r="E73" s="371">
        <f t="shared" si="28"/>
        <v>50</v>
      </c>
      <c r="F73" s="222">
        <f t="shared" si="28"/>
        <v>160</v>
      </c>
      <c r="G73" s="223">
        <f t="shared" si="28"/>
        <v>300</v>
      </c>
      <c r="H73" s="224" t="s">
        <v>93</v>
      </c>
      <c r="I73" s="145"/>
      <c r="J73" s="145"/>
      <c r="K73" s="374"/>
    </row>
    <row r="74">
      <c r="A74" s="226" t="str">
        <f t="shared" si="29"/>
        <v>Multiply factor, after adding savings, for measures combined by adding together</v>
      </c>
      <c r="B74" s="228">
        <f>1-B73/MeanDomesticGasBill</f>
        <v>0.9967018076</v>
      </c>
      <c r="C74" s="231">
        <f>1-C73/MeanDomesticGasBill</f>
        <v>0.9815062983</v>
      </c>
      <c r="D74" s="231">
        <f>1-D73/MeanDomesticGasBill</f>
        <v>0.9345225678</v>
      </c>
      <c r="E74" s="384">
        <f>1-E73/MeanDomesticOilBill</f>
        <v>0.9969857638</v>
      </c>
      <c r="F74" s="238">
        <f>1-F73/MeanDomesticOilBill</f>
        <v>0.990354444</v>
      </c>
      <c r="G74" s="242">
        <f>1-G73/MeanDomesticOilBill</f>
        <v>0.9819145826</v>
      </c>
      <c r="H74" s="152"/>
      <c r="I74" s="27"/>
      <c r="J74" s="27"/>
      <c r="K74" s="170"/>
    </row>
    <row r="75">
      <c r="A75" s="210" t="str">
        <f t="shared" si="29"/>
        <v>Apply multiplicative savings</v>
      </c>
      <c r="B75" s="228">
        <f t="shared" ref="B75:D75" si="30">PRODUCT(B74,I66:I70)</f>
        <v>0.8325361995</v>
      </c>
      <c r="C75" s="231">
        <f t="shared" si="30"/>
        <v>0.7820048872</v>
      </c>
      <c r="D75" s="231">
        <f t="shared" si="30"/>
        <v>0.7155160631</v>
      </c>
      <c r="E75" s="384">
        <f t="shared" ref="E75:G75" si="31">PRODUCT(E74,I66:I70)</f>
        <v>0.8327733856</v>
      </c>
      <c r="F75" s="238">
        <f t="shared" si="31"/>
        <v>0.7890545549</v>
      </c>
      <c r="G75" s="242">
        <f t="shared" si="31"/>
        <v>0.7518017013</v>
      </c>
      <c r="H75" s="152"/>
      <c r="I75" s="27"/>
      <c r="J75" s="27"/>
      <c r="K75" s="170"/>
    </row>
    <row r="76">
      <c r="A76" s="246" t="str">
        <f t="shared" si="29"/>
        <v>Bill savings as proportion of bill</v>
      </c>
      <c r="B76" s="247">
        <f t="shared" ref="B76:G76" si="32">1-B75</f>
        <v>0.1674638005</v>
      </c>
      <c r="C76" s="249">
        <f t="shared" si="32"/>
        <v>0.2179951128</v>
      </c>
      <c r="D76" s="249">
        <f t="shared" si="32"/>
        <v>0.2844839369</v>
      </c>
      <c r="E76" s="394">
        <f t="shared" si="32"/>
        <v>0.1672266144</v>
      </c>
      <c r="F76" s="251">
        <f t="shared" si="32"/>
        <v>0.2109454451</v>
      </c>
      <c r="G76" s="253">
        <f t="shared" si="32"/>
        <v>0.2481982987</v>
      </c>
      <c r="H76" s="254" t="s">
        <v>120</v>
      </c>
      <c r="I76" s="195"/>
      <c r="J76" s="195"/>
      <c r="K76" s="196"/>
    </row>
    <row r="77">
      <c r="A77" s="256" t="s">
        <v>121</v>
      </c>
      <c r="B77" s="261">
        <f>ROUND(MeanDomesticGasBill*(1-B75)*gasPricePerkWh/100,-1)</f>
        <v>130</v>
      </c>
      <c r="C77" s="261">
        <f>ROUND(MeanDomesticGasBill*(1-C75)*gasPricePerkWh/100,-1)</f>
        <v>170</v>
      </c>
      <c r="D77" s="261">
        <f>ROUND(MeanDomesticGasBill*(1-D75)*gasPricePerkWh/100,-1)</f>
        <v>220</v>
      </c>
      <c r="E77" s="261">
        <f>ROUND(MeanDomesticGasBill*(1-E75)*oilPricePerkWh/100,-1)</f>
        <v>160</v>
      </c>
      <c r="F77" s="261">
        <f>ROUND(MeanDomesticGasBill*(1-F75)*oilPricePerkWh/100,-1)</f>
        <v>200</v>
      </c>
      <c r="G77" s="261">
        <f>ROUND(MeanDomesticGasBill*(1-G75)*oilPricePerkWh/100,-1)</f>
        <v>240</v>
      </c>
      <c r="H77" s="271"/>
      <c r="I77" s="27"/>
      <c r="J77" s="27"/>
      <c r="K77" s="27"/>
    </row>
    <row r="78">
      <c r="A78" s="26"/>
      <c r="B78" s="441"/>
      <c r="C78" s="441"/>
      <c r="D78" s="441"/>
      <c r="E78" s="601"/>
      <c r="F78" s="601"/>
      <c r="G78" s="601"/>
      <c r="H78" s="27"/>
      <c r="I78" s="231"/>
      <c r="J78" s="231"/>
      <c r="K78" s="231"/>
    </row>
    <row r="79">
      <c r="A79" s="26"/>
      <c r="B79" s="231"/>
      <c r="C79" s="231"/>
      <c r="D79" s="231"/>
      <c r="E79" s="238"/>
      <c r="F79" s="238"/>
      <c r="G79" s="238"/>
      <c r="H79" s="27"/>
      <c r="I79" s="27"/>
      <c r="J79" s="27"/>
      <c r="K79" s="27"/>
    </row>
    <row r="80">
      <c r="A80" s="573" t="s">
        <v>385</v>
      </c>
      <c r="B80" s="460"/>
      <c r="C80" s="460"/>
      <c r="D80" s="460"/>
      <c r="E80" s="604"/>
      <c r="F80" s="604"/>
      <c r="G80" s="604"/>
      <c r="H80" s="460"/>
      <c r="I80" s="217"/>
      <c r="J80" s="217"/>
      <c r="K80" s="217"/>
      <c r="M80" s="97"/>
    </row>
    <row r="81">
      <c r="A81" s="606" t="str">
        <f t="shared" ref="A81:K81" si="33">A66</f>
        <v>Reduce flow temperature to 60°C *</v>
      </c>
      <c r="B81" s="607">
        <f t="shared" si="33"/>
        <v>470</v>
      </c>
      <c r="C81" s="608">
        <f t="shared" si="33"/>
        <v>720</v>
      </c>
      <c r="D81" s="609">
        <f t="shared" si="33"/>
        <v>800</v>
      </c>
      <c r="E81" s="610">
        <f t="shared" si="33"/>
        <v>0</v>
      </c>
      <c r="F81" s="610">
        <f t="shared" si="33"/>
        <v>0</v>
      </c>
      <c r="G81" s="610">
        <f t="shared" si="33"/>
        <v>0</v>
      </c>
      <c r="H81" s="607" t="str">
        <f t="shared" si="33"/>
        <v>Multiply</v>
      </c>
      <c r="I81" s="611">
        <f t="shared" si="33"/>
        <v>0.9524107323</v>
      </c>
      <c r="J81" s="611">
        <f t="shared" si="33"/>
        <v>0.927097292</v>
      </c>
      <c r="K81" s="612">
        <f t="shared" si="33"/>
        <v>0.9189969911</v>
      </c>
    </row>
    <row r="82">
      <c r="A82" s="613" t="str">
        <f t="shared" ref="A82:K82" si="34">A67</f>
        <v>Close curtains at night</v>
      </c>
      <c r="B82" s="614">
        <f t="shared" si="34"/>
        <v>30</v>
      </c>
      <c r="C82" s="615">
        <f t="shared" si="34"/>
        <v>90</v>
      </c>
      <c r="D82" s="616">
        <f t="shared" si="34"/>
        <v>180</v>
      </c>
      <c r="E82" s="617">
        <f t="shared" si="34"/>
        <v>50</v>
      </c>
      <c r="F82" s="617">
        <f t="shared" si="34"/>
        <v>160</v>
      </c>
      <c r="G82" s="617">
        <f t="shared" si="34"/>
        <v>300</v>
      </c>
      <c r="H82" s="614" t="str">
        <f t="shared" si="34"/>
        <v>Add</v>
      </c>
      <c r="I82" s="618">
        <f t="shared" si="34"/>
        <v>1</v>
      </c>
      <c r="J82" s="618">
        <f t="shared" si="34"/>
        <v>1</v>
      </c>
      <c r="K82" s="619">
        <f t="shared" si="34"/>
        <v>1</v>
      </c>
    </row>
    <row r="83">
      <c r="A83" s="613" t="str">
        <f t="shared" ref="A83:K83" si="35">A68</f>
        <v>Turn off pre-heat facility</v>
      </c>
      <c r="B83" s="614">
        <f t="shared" si="35"/>
        <v>2.573529412</v>
      </c>
      <c r="C83" s="615">
        <f t="shared" si="35"/>
        <v>92.64705882</v>
      </c>
      <c r="D83" s="616">
        <f t="shared" si="35"/>
        <v>466.6666667</v>
      </c>
      <c r="E83" s="620">
        <f t="shared" si="35"/>
        <v>0</v>
      </c>
      <c r="F83" s="617">
        <f t="shared" si="35"/>
        <v>0</v>
      </c>
      <c r="G83" s="621">
        <f t="shared" si="35"/>
        <v>0</v>
      </c>
      <c r="H83" s="614" t="str">
        <f t="shared" si="35"/>
        <v>Add</v>
      </c>
      <c r="I83" s="618">
        <f t="shared" si="35"/>
        <v>1</v>
      </c>
      <c r="J83" s="618">
        <f t="shared" si="35"/>
        <v>1</v>
      </c>
      <c r="K83" s="619">
        <f t="shared" si="35"/>
        <v>1</v>
      </c>
    </row>
    <row r="84">
      <c r="A84" s="613" t="s">
        <v>386</v>
      </c>
      <c r="B84" s="614">
        <f>Summary!B12</f>
        <v>1417.631828</v>
      </c>
      <c r="C84" s="615">
        <f>Summary!C12</f>
        <v>1667.802151</v>
      </c>
      <c r="D84" s="616">
        <f>Summary!D12</f>
        <v>2101.43071</v>
      </c>
      <c r="E84" s="617">
        <f>Summary!E12</f>
        <v>2381.04354</v>
      </c>
      <c r="F84" s="617">
        <f>Summary!F12</f>
        <v>2801.227694</v>
      </c>
      <c r="G84" s="617">
        <f>Summary!G12</f>
        <v>3529.546895</v>
      </c>
      <c r="H84" s="614" t="str">
        <f>H69</f>
        <v>Multiply</v>
      </c>
      <c r="I84" s="134">
        <f>IF($H84="Multiply",(1-B84/MeanDomesticGasBill),1)</f>
        <v>0.8564594455</v>
      </c>
      <c r="J84" s="134">
        <f>IF($H84="Multiply",(1-C84/MeanDomesticGasBill),1)</f>
        <v>0.8311287594</v>
      </c>
      <c r="K84" s="141">
        <f>IF($H84="Multiply",(1-D84/MeanDomesticGasBill),1)</f>
        <v>0.7872222369</v>
      </c>
    </row>
    <row r="85" ht="15.0" customHeight="1">
      <c r="A85" s="613" t="s">
        <v>381</v>
      </c>
      <c r="B85" s="112">
        <f t="shared" ref="B85:K85" si="36">B70</f>
        <v>536.2305552</v>
      </c>
      <c r="C85" s="114">
        <f t="shared" si="36"/>
        <v>595.811728</v>
      </c>
      <c r="D85" s="446">
        <f t="shared" si="36"/>
        <v>655.3929008</v>
      </c>
      <c r="E85" s="125">
        <f t="shared" si="36"/>
        <v>450.3243627</v>
      </c>
      <c r="F85" s="125">
        <f t="shared" si="36"/>
        <v>500.3604031</v>
      </c>
      <c r="G85" s="125">
        <f t="shared" si="36"/>
        <v>550.3964434</v>
      </c>
      <c r="H85" s="112" t="str">
        <f t="shared" si="36"/>
        <v>Multiply</v>
      </c>
      <c r="I85" s="134">
        <f t="shared" si="36"/>
        <v>0.9457046395</v>
      </c>
      <c r="J85" s="134">
        <f t="shared" si="36"/>
        <v>0.9396718216</v>
      </c>
      <c r="K85" s="141">
        <f t="shared" si="36"/>
        <v>0.9336390038</v>
      </c>
    </row>
    <row r="86" ht="15.0" customHeight="1">
      <c r="A86" s="623" t="str">
        <f>A71</f>
        <v>Applicable proportion of households</v>
      </c>
      <c r="B86" s="626">
        <f>(1-VulnerableHouseholdsLikely) * propHomesGasCombi</f>
        <v>0.3906199666</v>
      </c>
      <c r="C86" s="581"/>
      <c r="D86" s="627"/>
      <c r="E86" s="193"/>
      <c r="F86" s="193"/>
      <c r="G86" s="193"/>
      <c r="H86" s="181"/>
      <c r="I86" s="206"/>
      <c r="J86" s="206"/>
      <c r="K86" s="209"/>
    </row>
    <row r="87" ht="21.0" customHeight="1">
      <c r="A87" s="628"/>
      <c r="B87" s="441"/>
      <c r="C87" s="441"/>
      <c r="D87" s="441"/>
      <c r="E87" s="601"/>
      <c r="F87" s="601"/>
      <c r="G87" s="601"/>
      <c r="H87" s="441"/>
      <c r="I87" s="231"/>
      <c r="J87" s="231"/>
      <c r="K87" s="231"/>
    </row>
    <row r="88">
      <c r="A88" s="215" t="str">
        <f t="shared" ref="A88:A91" si="38">A23</f>
        <v>Sum of added measures</v>
      </c>
      <c r="B88" s="218">
        <f t="shared" ref="B88:G88" si="37">SUMIFS(B81:B85,$H81:$H85,"Add")</f>
        <v>32.57352941</v>
      </c>
      <c r="C88" s="219">
        <f t="shared" si="37"/>
        <v>182.6470588</v>
      </c>
      <c r="D88" s="221">
        <f t="shared" si="37"/>
        <v>646.6666667</v>
      </c>
      <c r="E88" s="371">
        <f t="shared" si="37"/>
        <v>50</v>
      </c>
      <c r="F88" s="222">
        <f t="shared" si="37"/>
        <v>160</v>
      </c>
      <c r="G88" s="223">
        <f t="shared" si="37"/>
        <v>300</v>
      </c>
      <c r="H88" s="630" t="s">
        <v>93</v>
      </c>
      <c r="I88" s="145"/>
      <c r="J88" s="145"/>
      <c r="K88" s="374"/>
    </row>
    <row r="89">
      <c r="A89" s="226" t="str">
        <f t="shared" si="38"/>
        <v>Multiply factor, after adding savings, for measures combined by adding together</v>
      </c>
      <c r="B89" s="228">
        <f>1-B88/MeanDomesticGasBill</f>
        <v>0.9967018076</v>
      </c>
      <c r="C89" s="231">
        <f>1-C88/MeanDomesticGasBill</f>
        <v>0.9815062983</v>
      </c>
      <c r="D89" s="235">
        <f>1-D88/MeanDomesticGasBill</f>
        <v>0.9345225678</v>
      </c>
      <c r="E89" s="384">
        <f>1-E88/MeanDomesticOilBill</f>
        <v>0.9969857638</v>
      </c>
      <c r="F89" s="238">
        <f>1-F88/MeanDomesticOilBill</f>
        <v>0.990354444</v>
      </c>
      <c r="G89" s="242">
        <f>1-G88/MeanDomesticOilBill</f>
        <v>0.9819145826</v>
      </c>
      <c r="H89" s="27"/>
      <c r="I89" s="27"/>
      <c r="J89" s="27"/>
      <c r="K89" s="170"/>
    </row>
    <row r="90">
      <c r="A90" s="210" t="str">
        <f t="shared" si="38"/>
        <v>Apply multiplicative savings</v>
      </c>
      <c r="B90" s="228">
        <f t="shared" ref="B90:D90" si="39">PRODUCT(B89,I81:I85)</f>
        <v>0.7688681123</v>
      </c>
      <c r="C90" s="231">
        <f t="shared" si="39"/>
        <v>0.7106617114</v>
      </c>
      <c r="D90" s="235">
        <f t="shared" si="39"/>
        <v>0.6312192326</v>
      </c>
      <c r="E90" s="384">
        <f t="shared" ref="E90:G90" si="40">PRODUCT(E89,I81:I85)</f>
        <v>0.7690871596</v>
      </c>
      <c r="F90" s="238">
        <f t="shared" si="40"/>
        <v>0.71706823</v>
      </c>
      <c r="G90" s="242">
        <f t="shared" si="40"/>
        <v>0.6632299643</v>
      </c>
      <c r="H90" s="27"/>
      <c r="I90" s="27"/>
      <c r="J90" s="27"/>
      <c r="K90" s="170"/>
    </row>
    <row r="91">
      <c r="A91" s="246" t="str">
        <f t="shared" si="38"/>
        <v>Bill savings as proportion of bill</v>
      </c>
      <c r="B91" s="247">
        <f t="shared" ref="B91:G91" si="41">1-B90</f>
        <v>0.2311318877</v>
      </c>
      <c r="C91" s="249">
        <f t="shared" si="41"/>
        <v>0.2893382886</v>
      </c>
      <c r="D91" s="250">
        <f t="shared" si="41"/>
        <v>0.3687807674</v>
      </c>
      <c r="E91" s="394">
        <f t="shared" si="41"/>
        <v>0.2309128404</v>
      </c>
      <c r="F91" s="251">
        <f t="shared" si="41"/>
        <v>0.28293177</v>
      </c>
      <c r="G91" s="253">
        <f t="shared" si="41"/>
        <v>0.3367700357</v>
      </c>
      <c r="H91" s="631" t="s">
        <v>120</v>
      </c>
      <c r="I91" s="195"/>
      <c r="J91" s="195"/>
      <c r="K91" s="196"/>
    </row>
    <row r="92">
      <c r="A92" s="256" t="s">
        <v>121</v>
      </c>
      <c r="B92" s="261">
        <f>ROUND(MeanDomesticGasBill*(1-B90)*gasPricePerkWh/100,-1)</f>
        <v>180</v>
      </c>
      <c r="C92" s="261">
        <f>ROUND(MeanDomesticGasBill*(1-C90)*gasPricePerkWh/100,-1)</f>
        <v>230</v>
      </c>
      <c r="D92" s="261">
        <f>ROUND(MeanDomesticGasBill*(1-D90)*gasPricePerkWh/100,-1)</f>
        <v>290</v>
      </c>
      <c r="E92" s="261">
        <f>ROUND(MeanDomesticGasBill*(1-E90)*oilPricePerkWh/100,-1)</f>
        <v>220</v>
      </c>
      <c r="F92" s="261">
        <f>ROUND(MeanDomesticGasBill*(1-F90)*oilPricePerkWh/100,-1)</f>
        <v>270</v>
      </c>
      <c r="G92" s="261">
        <f>ROUND(MeanDomesticGasBill*(1-G90)*oilPricePerkWh/100,-1)</f>
        <v>320</v>
      </c>
      <c r="H92" s="271"/>
      <c r="I92" s="27"/>
      <c r="J92" s="27"/>
      <c r="K92" s="27"/>
    </row>
    <row r="93">
      <c r="I93" s="27"/>
      <c r="J93" s="27"/>
      <c r="K93" s="27"/>
    </row>
    <row r="94">
      <c r="A94" s="632" t="s">
        <v>387</v>
      </c>
      <c r="B94" s="632"/>
      <c r="C94" s="632"/>
      <c r="D94" s="632"/>
      <c r="E94" s="604"/>
      <c r="F94" s="604"/>
      <c r="G94" s="604"/>
      <c r="H94" s="460"/>
      <c r="I94" s="217"/>
      <c r="J94" s="217"/>
      <c r="K94" s="217"/>
      <c r="M94" s="97"/>
    </row>
    <row r="95">
      <c r="A95" s="30" t="s">
        <v>388</v>
      </c>
      <c r="B95" s="47">
        <f t="array" ref="B95">INDEX(Summary!B$5:B$44,MATCH($M95,Summary!$A$5:$A$44,0))</f>
        <v>470</v>
      </c>
      <c r="C95" s="54">
        <f t="array" ref="C95">INDEX(Summary!C$5:C$44,MATCH($M95,Summary!$A$5:$A$44,0))</f>
        <v>720</v>
      </c>
      <c r="D95" s="54">
        <f t="array" ref="D95">INDEX(Summary!D$5:D$44,MATCH($M95,Summary!$A$5:$A$44,0))</f>
        <v>800</v>
      </c>
      <c r="E95" s="65">
        <f t="array" ref="E95">INDEX(Summary!E$5:E$44,MATCH($M95,Summary!$A$5:$A$44,0))</f>
        <v>0</v>
      </c>
      <c r="F95" s="72">
        <f t="array" ref="F95">INDEX(Summary!F$5:F$44,MATCH($M95,Summary!$A$5:$A$44,0))</f>
        <v>0</v>
      </c>
      <c r="G95" s="80">
        <f t="array" ref="G95">INDEX(Summary!G$5:G$44,MATCH($M95,Summary!$A$5:$A$44,0))</f>
        <v>0</v>
      </c>
      <c r="H95" s="54" t="str">
        <f t="array" ref="H95">INDEX(Summary!AJ$5:AJ$44,MATCH($M95,Summary!$A$5:$A$44,0))</f>
        <v>Multiply</v>
      </c>
      <c r="I95" s="89">
        <f>IF($H95="Multiply",(1-B95/MeanDomesticGasBill),1)</f>
        <v>0.9524107323</v>
      </c>
      <c r="J95" s="89">
        <f>IF($H95="Multiply",(1-C95/MeanDomesticGasBill),1)</f>
        <v>0.927097292</v>
      </c>
      <c r="K95" s="96">
        <f>IF($H95="Multiply",(1-D95/MeanDomesticGasBill),1)</f>
        <v>0.9189969911</v>
      </c>
      <c r="M95" s="97" t="s">
        <v>33</v>
      </c>
      <c r="P95" s="98" t="s">
        <v>34</v>
      </c>
    </row>
    <row r="96">
      <c r="A96" s="100" t="s">
        <v>35</v>
      </c>
      <c r="B96" s="112">
        <f t="array" ref="B96">INDEX(Summary!B$5:B$44,MATCH($M96,Summary!$A$5:$A$44,0))</f>
        <v>30</v>
      </c>
      <c r="C96" s="114">
        <f t="array" ref="C96">INDEX(Summary!C$5:C$44,MATCH($M96,Summary!$A$5:$A$44,0))</f>
        <v>90</v>
      </c>
      <c r="D96" s="114">
        <f t="array" ref="D96">INDEX(Summary!D$5:D$44,MATCH($M96,Summary!$A$5:$A$44,0))</f>
        <v>180</v>
      </c>
      <c r="E96" s="122">
        <f t="array" ref="E96">INDEX(Summary!E$5:E$44,MATCH($M96,Summary!$A$5:$A$44,0))</f>
        <v>50</v>
      </c>
      <c r="F96" s="125">
        <f t="array" ref="F96">INDEX(Summary!F$5:F$44,MATCH($M96,Summary!$A$5:$A$44,0))</f>
        <v>160</v>
      </c>
      <c r="G96" s="128">
        <f t="array" ref="G96">INDEX(Summary!G$5:G$44,MATCH($M96,Summary!$A$5:$A$44,0))</f>
        <v>300</v>
      </c>
      <c r="H96" s="114" t="str">
        <f t="array" ref="H96">INDEX(Summary!AJ$5:AJ$44,MATCH($M96,Summary!$A$5:$A$44,0))</f>
        <v>Add</v>
      </c>
      <c r="I96" s="134">
        <f>IF($H96="Multiply",(1-B96/MeanDomesticGasBill),1)</f>
        <v>1</v>
      </c>
      <c r="J96" s="134">
        <f>IF($H96="Multiply",(1-C96/MeanDomesticGasBill),1)</f>
        <v>1</v>
      </c>
      <c r="K96" s="141">
        <f>IF($H96="Multiply",(1-D96/MeanDomesticGasBill),1)</f>
        <v>1</v>
      </c>
      <c r="M96" s="97" t="s">
        <v>65</v>
      </c>
    </row>
    <row r="97">
      <c r="A97" s="100" t="s">
        <v>66</v>
      </c>
      <c r="B97" s="112">
        <f t="array" ref="B97">INDEX(Summary!B$5:B$44,MATCH($M97,Summary!$A$5:$A$44,0))</f>
        <v>2.573529412</v>
      </c>
      <c r="C97" s="114">
        <f t="array" ref="C97">INDEX(Summary!C$5:C$44,MATCH($M97,Summary!$A$5:$A$44,0))</f>
        <v>92.64705882</v>
      </c>
      <c r="D97" s="114">
        <f t="array" ref="D97">INDEX(Summary!D$5:D$44,MATCH($M97,Summary!$A$5:$A$44,0))</f>
        <v>466.6666667</v>
      </c>
      <c r="E97" s="122">
        <f t="array" ref="E97">INDEX(Summary!E$5:E$44,MATCH($M97,Summary!$A$5:$A$44,0))</f>
        <v>0</v>
      </c>
      <c r="F97" s="125">
        <f t="array" ref="F97">INDEX(Summary!F$5:F$44,MATCH($M97,Summary!$A$5:$A$44,0))</f>
        <v>0</v>
      </c>
      <c r="G97" s="128">
        <f t="array" ref="G97">INDEX(Summary!G$5:G$44,MATCH($M97,Summary!$A$5:$A$44,0))</f>
        <v>0</v>
      </c>
      <c r="H97" s="114" t="str">
        <f t="array" ref="H97">INDEX(Summary!AJ$5:AJ$44,MATCH($M97,Summary!$A$5:$A$44,0))</f>
        <v>Add</v>
      </c>
      <c r="I97" s="134">
        <f>IF($H97="Multiply",(1-B97/MeanDomesticGasBill),1)</f>
        <v>1</v>
      </c>
      <c r="J97" s="134">
        <f>IF($H97="Multiply",(1-C97/MeanDomesticGasBill),1)</f>
        <v>1</v>
      </c>
      <c r="K97" s="141">
        <f>IF($H97="Multiply",(1-D97/MeanDomesticGasBill),1)</f>
        <v>1</v>
      </c>
      <c r="M97" s="97" t="s">
        <v>66</v>
      </c>
    </row>
    <row r="98">
      <c r="A98" s="675" t="s">
        <v>83</v>
      </c>
      <c r="B98" s="112">
        <f t="array" ref="B98">INDEX(Summary!B$5:B$44,MATCH($M98,Summary!$A$5:$A$44,0))</f>
        <v>0</v>
      </c>
      <c r="C98" s="114">
        <f t="array" ref="C98">INDEX(Summary!C$5:C$44,MATCH($M98,Summary!$A$5:$A$44,0))</f>
        <v>510</v>
      </c>
      <c r="D98" s="114">
        <f t="array" ref="D98">INDEX(Summary!D$5:D$44,MATCH($M98,Summary!$A$5:$A$44,0))</f>
        <v>1010</v>
      </c>
      <c r="E98" s="122">
        <f t="array" ref="E98">INDEX(Summary!E$5:E$44,MATCH($M98,Summary!$A$5:$A$44,0))</f>
        <v>0</v>
      </c>
      <c r="F98" s="125">
        <f t="array" ref="F98">INDEX(Summary!F$5:F$44,MATCH($M98,Summary!$A$5:$A$44,0))</f>
        <v>850</v>
      </c>
      <c r="G98" s="128">
        <f t="array" ref="G98">INDEX(Summary!G$5:G$44,MATCH($M98,Summary!$A$5:$A$44,0))</f>
        <v>1700</v>
      </c>
      <c r="H98" s="114" t="str">
        <f t="array" ref="H98">INDEX(Summary!AJ$5:AJ$44,MATCH($M98,Summary!$A$5:$A$44,0))</f>
        <v>Multiply</v>
      </c>
      <c r="I98" s="134">
        <f>IF($H98="Multiply",(1-B98/MeanDomesticGasBill),1)</f>
        <v>1</v>
      </c>
      <c r="J98" s="134">
        <f>IF($H98="Multiply",(1-C98/MeanDomesticGasBill),1)</f>
        <v>0.9483605818</v>
      </c>
      <c r="K98" s="141">
        <f>IF($H98="Multiply",(1-D98/MeanDomesticGasBill),1)</f>
        <v>0.8977337013</v>
      </c>
      <c r="M98" s="97" t="s">
        <v>83</v>
      </c>
    </row>
    <row r="99">
      <c r="A99" s="311" t="s">
        <v>380</v>
      </c>
      <c r="B99" s="114">
        <f>Summary!B11</f>
        <v>717.2004519</v>
      </c>
      <c r="C99" s="114">
        <f>Summary!C11</f>
        <v>843.7652375</v>
      </c>
      <c r="D99" s="114">
        <f>Summary!D11</f>
        <v>1063.144199</v>
      </c>
      <c r="E99" s="122">
        <f>Summary!E11</f>
        <v>1204.604375</v>
      </c>
      <c r="F99" s="125">
        <f>Summary!F11</f>
        <v>1417.181618</v>
      </c>
      <c r="G99" s="128">
        <f>Summary!G11</f>
        <v>1785.648839</v>
      </c>
      <c r="H99" s="578" t="s">
        <v>86</v>
      </c>
      <c r="I99" s="134">
        <f>IF($H99="Multiply",(1-B99/MeanDomesticGasBill),1)</f>
        <v>0.9273807568</v>
      </c>
      <c r="J99" s="134">
        <f>IF($H99="Multiply",(1-C99/MeanDomesticGasBill),1)</f>
        <v>0.9145655962</v>
      </c>
      <c r="K99" s="141">
        <f>IF($H99="Multiply",(1-D99/MeanDomesticGasBill),1)</f>
        <v>0.8923526512</v>
      </c>
      <c r="M99" s="97"/>
    </row>
    <row r="100">
      <c r="A100" s="580" t="s">
        <v>456</v>
      </c>
      <c r="B100" s="182">
        <f>Summary!B14</f>
        <v>738.9214793</v>
      </c>
      <c r="C100" s="182">
        <f>Summary!C14</f>
        <v>821.0238659</v>
      </c>
      <c r="D100" s="182">
        <f>Summary!D14</f>
        <v>903.1262525</v>
      </c>
      <c r="E100" s="189">
        <f>Summary!E14</f>
        <v>1241.086846</v>
      </c>
      <c r="F100" s="193">
        <f>Summary!F14</f>
        <v>1378.985385</v>
      </c>
      <c r="G100" s="200">
        <f>Summary!G14</f>
        <v>1516.883923</v>
      </c>
      <c r="H100" s="582" t="s">
        <v>86</v>
      </c>
      <c r="I100" s="206">
        <f>IF($H100="Multiply",(1-B100/MeanDomesticGasBill),1)</f>
        <v>0.9251814211</v>
      </c>
      <c r="J100" s="206">
        <f>IF($H100="Multiply",(1-C100/MeanDomesticGasBill),1)</f>
        <v>0.9168682456</v>
      </c>
      <c r="K100" s="141">
        <f>IF($H100="Multiply",(1-D100/MeanDomesticGasBill),1)</f>
        <v>0.9085550702</v>
      </c>
      <c r="M100" s="97"/>
    </row>
    <row r="101">
      <c r="A101" s="210"/>
      <c r="B101" s="27"/>
      <c r="C101" s="27"/>
      <c r="D101" s="27"/>
      <c r="E101" s="169"/>
      <c r="F101" s="169"/>
      <c r="G101" s="213"/>
      <c r="H101" s="152"/>
      <c r="I101" s="27"/>
      <c r="J101" s="27"/>
      <c r="K101" s="214"/>
    </row>
    <row r="102">
      <c r="A102" s="215" t="s">
        <v>91</v>
      </c>
      <c r="B102" s="218">
        <f t="shared" ref="B102:D102" si="42">SUMIFS(B95:B100,$H95:$H100,"Add")</f>
        <v>32.57352941</v>
      </c>
      <c r="C102" s="219">
        <f t="shared" si="42"/>
        <v>182.6470588</v>
      </c>
      <c r="D102" s="219">
        <f t="shared" si="42"/>
        <v>646.6666667</v>
      </c>
      <c r="E102" s="222">
        <f t="shared" ref="E102:G102" si="43">SUMIFS(E95:E98,$H95:$H98,"Add")</f>
        <v>50</v>
      </c>
      <c r="F102" s="222">
        <f t="shared" si="43"/>
        <v>160</v>
      </c>
      <c r="G102" s="223">
        <f t="shared" si="43"/>
        <v>300</v>
      </c>
      <c r="H102" s="224" t="s">
        <v>93</v>
      </c>
      <c r="I102" s="147"/>
      <c r="J102" s="147"/>
      <c r="K102" s="225"/>
      <c r="P102" s="98" t="s">
        <v>96</v>
      </c>
    </row>
    <row r="103">
      <c r="A103" s="226" t="s">
        <v>97</v>
      </c>
      <c r="B103" s="228">
        <f>1-B102/MeanDomesticGasBill</f>
        <v>0.9967018076</v>
      </c>
      <c r="C103" s="231">
        <f>1-C102/MeanDomesticGasBill</f>
        <v>0.9815062983</v>
      </c>
      <c r="D103" s="235">
        <f>1-D102/MeanDomesticGasBill</f>
        <v>0.9345225678</v>
      </c>
      <c r="E103" s="238">
        <f>1-E102/MeanDomesticOilBill</f>
        <v>0.9969857638</v>
      </c>
      <c r="F103" s="238">
        <f>1-F102/MeanDomesticOilBill</f>
        <v>0.990354444</v>
      </c>
      <c r="G103" s="242">
        <f>1-G102/MeanDomesticOilBill</f>
        <v>0.9819145826</v>
      </c>
      <c r="H103" s="152"/>
      <c r="I103" s="27"/>
      <c r="J103" s="27"/>
      <c r="K103" s="170"/>
    </row>
    <row r="104">
      <c r="A104" s="210" t="s">
        <v>116</v>
      </c>
      <c r="B104" s="228">
        <f t="shared" ref="B104:D104" si="44">PRODUCT(B103,I95:I100)</f>
        <v>0.8144689071</v>
      </c>
      <c r="C104" s="228">
        <f t="shared" si="44"/>
        <v>0.7236252121</v>
      </c>
      <c r="D104" s="228">
        <f t="shared" si="44"/>
        <v>0.6250851575</v>
      </c>
      <c r="E104" s="238">
        <f t="shared" ref="E104:G104" si="45">PRODUCT(E103,I95:I100)</f>
        <v>0.8147009459</v>
      </c>
      <c r="F104" s="238">
        <f t="shared" si="45"/>
        <v>0.7301485949</v>
      </c>
      <c r="G104" s="238">
        <f t="shared" si="45"/>
        <v>0.6567848146</v>
      </c>
      <c r="H104" s="152"/>
      <c r="I104" s="27"/>
      <c r="J104" s="27"/>
      <c r="K104" s="170"/>
    </row>
    <row r="105">
      <c r="A105" s="246" t="s">
        <v>117</v>
      </c>
      <c r="B105" s="247">
        <f t="shared" ref="B105:G105" si="46">1-B104</f>
        <v>0.1855310929</v>
      </c>
      <c r="C105" s="249">
        <f t="shared" si="46"/>
        <v>0.2763747879</v>
      </c>
      <c r="D105" s="250">
        <f t="shared" si="46"/>
        <v>0.3749148425</v>
      </c>
      <c r="E105" s="251">
        <f t="shared" si="46"/>
        <v>0.1852990541</v>
      </c>
      <c r="F105" s="251">
        <f t="shared" si="46"/>
        <v>0.2698514051</v>
      </c>
      <c r="G105" s="253">
        <f t="shared" si="46"/>
        <v>0.3432151854</v>
      </c>
      <c r="H105" s="254" t="s">
        <v>120</v>
      </c>
      <c r="I105" s="195"/>
      <c r="J105" s="195"/>
      <c r="K105" s="196"/>
    </row>
    <row r="106">
      <c r="A106" s="256" t="s">
        <v>121</v>
      </c>
      <c r="B106" s="261">
        <f>ROUND(MeanDomesticGasBill*(1-B104)*gasPricePerkWh/100,-1)</f>
        <v>150</v>
      </c>
      <c r="C106" s="261">
        <f>ROUND(MeanDomesticGasBill*(1-C104)*gasPricePerkWh/100,-1)</f>
        <v>220</v>
      </c>
      <c r="D106" s="261">
        <f>ROUND(MeanDomesticGasBill*(1-D104)*gasPricePerkWh/100,-1)</f>
        <v>300</v>
      </c>
      <c r="E106" s="261">
        <f>ROUND(MeanDomesticGasBill*(1-E104)*oilPricePerkWh/100,-1)</f>
        <v>180</v>
      </c>
      <c r="F106" s="261">
        <f>ROUND(MeanDomesticGasBill*(1-F104)*oilPricePerkWh/100,-1)</f>
        <v>260</v>
      </c>
      <c r="G106" s="261">
        <f>ROUND(MeanDomesticGasBill*(1-G104)*oilPricePerkWh/100,-1)</f>
        <v>330</v>
      </c>
      <c r="H106" s="271"/>
      <c r="I106" s="27"/>
      <c r="J106" s="27"/>
      <c r="K106" s="27"/>
    </row>
    <row r="107">
      <c r="E107" s="272"/>
      <c r="F107" s="272"/>
      <c r="G107" s="272"/>
    </row>
    <row r="108">
      <c r="I108" s="27"/>
      <c r="J108" s="27"/>
      <c r="K108" s="27"/>
    </row>
    <row r="109" ht="47.25" customHeight="1">
      <c r="A109" s="26"/>
      <c r="B109" s="691"/>
      <c r="C109" s="691"/>
      <c r="D109" s="691"/>
      <c r="E109" s="692" t="s">
        <v>468</v>
      </c>
      <c r="F109" s="693"/>
      <c r="G109" s="693"/>
      <c r="H109" s="693"/>
      <c r="I109" s="693"/>
      <c r="J109" s="693"/>
      <c r="K109" s="693"/>
    </row>
    <row r="111">
      <c r="A111" s="512" t="s">
        <v>469</v>
      </c>
      <c r="B111" s="124"/>
      <c r="C111" s="124"/>
      <c r="D111" s="124"/>
      <c r="E111" s="124"/>
      <c r="F111" s="124"/>
      <c r="G111" s="124"/>
      <c r="H111" s="124"/>
      <c r="I111" s="124"/>
      <c r="J111" s="124"/>
      <c r="K111" s="124"/>
    </row>
    <row r="112" ht="32.25" customHeight="1">
      <c r="A112" s="694" t="s">
        <v>470</v>
      </c>
      <c r="B112" s="37"/>
      <c r="C112" s="37"/>
      <c r="D112" s="37"/>
      <c r="E112" s="37"/>
      <c r="F112" s="37"/>
      <c r="G112" s="37"/>
      <c r="H112" s="37"/>
      <c r="I112" s="37"/>
      <c r="J112" s="37"/>
      <c r="K112" s="46"/>
    </row>
    <row r="113" ht="15.0" customHeight="1">
      <c r="A113" s="694" t="s">
        <v>471</v>
      </c>
      <c r="B113" s="37"/>
      <c r="C113" s="37"/>
      <c r="D113" s="37"/>
      <c r="E113" s="37"/>
      <c r="F113" s="37"/>
      <c r="G113" s="37"/>
      <c r="H113" s="37"/>
      <c r="I113" s="37"/>
      <c r="J113" s="37"/>
      <c r="K113" s="46"/>
    </row>
    <row r="114" ht="15.0" customHeight="1">
      <c r="A114" s="695" t="s">
        <v>472</v>
      </c>
      <c r="B114" s="696"/>
      <c r="C114" s="696"/>
      <c r="D114" s="696"/>
      <c r="E114" s="696"/>
      <c r="F114" s="696"/>
      <c r="G114" s="696"/>
      <c r="H114" s="696"/>
      <c r="I114" s="696"/>
      <c r="J114" s="696"/>
      <c r="K114" s="696"/>
    </row>
    <row r="115">
      <c r="A115" s="124"/>
      <c r="B115" s="124"/>
      <c r="C115" s="124"/>
      <c r="D115" s="124"/>
      <c r="E115" s="124"/>
      <c r="F115" s="124"/>
      <c r="G115" s="124"/>
      <c r="H115" s="124"/>
      <c r="I115" s="124"/>
      <c r="J115" s="124"/>
      <c r="K115" s="124"/>
    </row>
    <row r="116">
      <c r="A116" s="512" t="s">
        <v>473</v>
      </c>
      <c r="B116" s="124"/>
      <c r="C116" s="124"/>
      <c r="D116" s="124"/>
      <c r="E116" s="124"/>
      <c r="F116" s="124"/>
      <c r="G116" s="124"/>
      <c r="H116" s="124"/>
      <c r="I116" s="124"/>
      <c r="J116" s="124"/>
      <c r="K116" s="124"/>
    </row>
    <row r="117">
      <c r="A117" s="124" t="s">
        <v>474</v>
      </c>
      <c r="B117" s="124"/>
      <c r="C117" s="124"/>
      <c r="D117" s="124"/>
      <c r="E117" s="124"/>
      <c r="F117" s="124"/>
      <c r="G117" s="124"/>
      <c r="H117" s="124"/>
      <c r="I117" s="124"/>
      <c r="J117" s="124"/>
      <c r="K117" s="124"/>
    </row>
    <row r="118">
      <c r="A118" s="124"/>
      <c r="B118" s="124"/>
      <c r="C118" s="124"/>
      <c r="D118" s="124"/>
      <c r="E118" s="124"/>
      <c r="F118" s="124"/>
      <c r="G118" s="124"/>
      <c r="H118" s="124"/>
      <c r="I118" s="124"/>
      <c r="J118" s="124"/>
      <c r="K118" s="124"/>
    </row>
  </sheetData>
  <mergeCells count="6">
    <mergeCell ref="B4:D4"/>
    <mergeCell ref="E4:G4"/>
    <mergeCell ref="I4:K4"/>
    <mergeCell ref="E109:K109"/>
    <mergeCell ref="A112:K112"/>
    <mergeCell ref="A113:K113"/>
  </mergeCell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1.22" defaultRowHeight="15.0" outlineLevelCol="1"/>
  <cols>
    <col customWidth="1" min="1" max="1" width="37.33"/>
    <col customWidth="1" min="2" max="2" width="11.44" outlineLevel="1"/>
    <col customWidth="1" min="3" max="9" width="10.44" outlineLevel="1"/>
    <col customWidth="1" min="10" max="10" width="4.78" outlineLevel="1"/>
    <col customWidth="1" min="11" max="11" width="25.33"/>
    <col customWidth="1" min="12" max="14" width="13.44" outlineLevel="1"/>
    <col customWidth="1" min="15" max="19" width="10.44" outlineLevel="1"/>
    <col customWidth="1" min="20" max="20" width="6.0" outlineLevel="1"/>
    <col customWidth="1" min="21" max="26" width="10.44"/>
    <col customWidth="1" min="27" max="32" width="11.0"/>
    <col customWidth="1" min="33" max="33" width="20.44"/>
    <col customWidth="1" min="34" max="34" width="14.0"/>
    <col customWidth="1" min="35" max="35" width="16.0"/>
    <col customWidth="1" min="36" max="36" width="18.0"/>
    <col customWidth="1" min="37" max="37" width="10.44"/>
    <col customWidth="1" min="38" max="38" width="16.78"/>
    <col customWidth="1" min="39" max="41" width="10.44"/>
  </cols>
  <sheetData>
    <row r="1">
      <c r="A1" s="2"/>
      <c r="B1" s="3"/>
      <c r="C1" s="4"/>
      <c r="D1" s="4"/>
      <c r="E1" s="4"/>
      <c r="F1" s="4"/>
      <c r="G1" s="4"/>
      <c r="H1" s="4"/>
      <c r="I1" s="4"/>
      <c r="J1" s="5"/>
      <c r="K1" s="6"/>
      <c r="L1" s="3"/>
      <c r="M1" s="4"/>
      <c r="N1" s="4"/>
      <c r="O1" s="4"/>
      <c r="P1" s="4"/>
      <c r="Q1" s="4"/>
      <c r="R1" s="4"/>
      <c r="S1" s="4"/>
      <c r="T1" s="5"/>
      <c r="U1" s="11"/>
      <c r="V1" s="13"/>
      <c r="W1" s="15"/>
      <c r="X1" s="17"/>
      <c r="Y1" s="21"/>
      <c r="Z1" s="25"/>
      <c r="AA1" s="3"/>
      <c r="AB1" s="4"/>
      <c r="AC1" s="5"/>
      <c r="AD1" s="4"/>
      <c r="AE1" s="4"/>
      <c r="AF1" s="5"/>
      <c r="AG1" s="5"/>
      <c r="AH1" s="31"/>
      <c r="AI1" s="31"/>
      <c r="AJ1" s="31"/>
    </row>
    <row r="2" ht="47.25" customHeight="1">
      <c r="A2" s="32" t="s">
        <v>10</v>
      </c>
      <c r="B2" s="36" t="s">
        <v>11</v>
      </c>
      <c r="C2" s="37"/>
      <c r="D2" s="37"/>
      <c r="E2" s="37"/>
      <c r="F2" s="37"/>
      <c r="G2" s="37"/>
      <c r="H2" s="37"/>
      <c r="I2" s="37"/>
      <c r="J2" s="38"/>
      <c r="K2" s="40" t="s">
        <v>14</v>
      </c>
      <c r="L2" s="42" t="s">
        <v>15</v>
      </c>
      <c r="M2" s="37"/>
      <c r="N2" s="37"/>
      <c r="O2" s="37"/>
      <c r="P2" s="37"/>
      <c r="Q2" s="37"/>
      <c r="R2" s="37"/>
      <c r="S2" s="37"/>
      <c r="T2" s="38"/>
      <c r="U2" s="44" t="s">
        <v>18</v>
      </c>
      <c r="V2" s="37"/>
      <c r="W2" s="38"/>
      <c r="X2" s="36" t="s">
        <v>21</v>
      </c>
      <c r="Y2" s="37"/>
      <c r="Z2" s="38"/>
      <c r="AA2" s="48" t="s">
        <v>22</v>
      </c>
      <c r="AB2" s="37"/>
      <c r="AC2" s="38"/>
      <c r="AD2" s="42" t="s">
        <v>25</v>
      </c>
      <c r="AE2" s="37"/>
      <c r="AF2" s="38"/>
      <c r="AG2" s="51" t="s">
        <v>26</v>
      </c>
      <c r="AH2" s="52" t="s">
        <v>27</v>
      </c>
      <c r="AI2" s="52" t="s">
        <v>28</v>
      </c>
      <c r="AJ2" s="52" t="s">
        <v>29</v>
      </c>
    </row>
    <row r="3">
      <c r="A3" s="32"/>
      <c r="B3" s="53" t="s">
        <v>30</v>
      </c>
      <c r="C3" s="55"/>
      <c r="D3" s="56"/>
      <c r="E3" s="53" t="s">
        <v>31</v>
      </c>
      <c r="F3" s="55"/>
      <c r="G3" s="56"/>
      <c r="H3" s="57" t="s">
        <v>32</v>
      </c>
      <c r="I3" s="57"/>
      <c r="J3" s="58"/>
      <c r="K3" s="59"/>
      <c r="L3" s="53" t="s">
        <v>30</v>
      </c>
      <c r="M3" s="55"/>
      <c r="N3" s="55"/>
      <c r="O3" s="53" t="s">
        <v>31</v>
      </c>
      <c r="P3" s="55"/>
      <c r="Q3" s="56"/>
      <c r="R3" s="60" t="s">
        <v>32</v>
      </c>
      <c r="S3" s="57"/>
      <c r="T3" s="58"/>
      <c r="U3" s="61"/>
      <c r="V3" s="62"/>
      <c r="W3" s="63"/>
      <c r="X3" s="64"/>
      <c r="Y3" s="66"/>
      <c r="Z3" s="67"/>
      <c r="AA3" s="68"/>
      <c r="AB3" s="69"/>
      <c r="AC3" s="70"/>
      <c r="AD3" s="68"/>
      <c r="AE3" s="69"/>
      <c r="AF3" s="70"/>
      <c r="AG3" s="70"/>
      <c r="AH3" s="71"/>
      <c r="AI3" s="71"/>
      <c r="AJ3" s="71"/>
    </row>
    <row r="4">
      <c r="A4" s="73"/>
      <c r="B4" s="74" t="s">
        <v>5</v>
      </c>
      <c r="C4" s="69" t="s">
        <v>6</v>
      </c>
      <c r="D4" s="70" t="s">
        <v>7</v>
      </c>
      <c r="E4" s="74" t="s">
        <v>5</v>
      </c>
      <c r="F4" s="69" t="s">
        <v>6</v>
      </c>
      <c r="G4" s="70" t="s">
        <v>7</v>
      </c>
      <c r="H4" s="75" t="s">
        <v>5</v>
      </c>
      <c r="I4" s="76" t="s">
        <v>6</v>
      </c>
      <c r="J4" s="77" t="s">
        <v>7</v>
      </c>
      <c r="K4" s="78"/>
      <c r="L4" s="79" t="s">
        <v>5</v>
      </c>
      <c r="M4" s="69" t="s">
        <v>6</v>
      </c>
      <c r="N4" s="69" t="s">
        <v>7</v>
      </c>
      <c r="O4" s="74" t="s">
        <v>5</v>
      </c>
      <c r="P4" s="69" t="s">
        <v>6</v>
      </c>
      <c r="Q4" s="70" t="s">
        <v>7</v>
      </c>
      <c r="R4" s="75" t="s">
        <v>5</v>
      </c>
      <c r="S4" s="76" t="s">
        <v>6</v>
      </c>
      <c r="T4" s="77" t="s">
        <v>7</v>
      </c>
      <c r="U4" s="81" t="s">
        <v>5</v>
      </c>
      <c r="V4" s="82" t="s">
        <v>6</v>
      </c>
      <c r="W4" s="83" t="s">
        <v>7</v>
      </c>
      <c r="X4" s="84" t="s">
        <v>5</v>
      </c>
      <c r="Y4" s="85" t="s">
        <v>6</v>
      </c>
      <c r="Z4" s="86" t="s">
        <v>7</v>
      </c>
      <c r="AA4" s="87" t="s">
        <v>5</v>
      </c>
      <c r="AB4" s="69" t="s">
        <v>6</v>
      </c>
      <c r="AC4" s="70" t="s">
        <v>7</v>
      </c>
      <c r="AD4" s="87" t="s">
        <v>5</v>
      </c>
      <c r="AE4" s="69" t="s">
        <v>6</v>
      </c>
      <c r="AF4" s="70" t="s">
        <v>7</v>
      </c>
      <c r="AG4" s="70"/>
      <c r="AH4" s="88"/>
      <c r="AI4" s="88"/>
      <c r="AJ4" s="88"/>
    </row>
    <row r="5">
      <c r="A5" s="90" t="str">
        <f>'Reducing radiator temp'!A118</f>
        <v>Reducing radiator temperatures (set and forget)</v>
      </c>
      <c r="B5" s="91"/>
      <c r="C5" s="92"/>
      <c r="D5" s="93"/>
      <c r="E5" s="91"/>
      <c r="F5" s="92"/>
      <c r="G5" s="93"/>
      <c r="H5" s="91"/>
      <c r="I5" s="92"/>
      <c r="J5" s="93"/>
      <c r="K5" s="94"/>
      <c r="L5" s="92"/>
      <c r="M5" s="95"/>
      <c r="N5" s="92"/>
      <c r="O5" s="91"/>
      <c r="P5" s="92"/>
      <c r="Q5" s="93"/>
      <c r="R5" s="91"/>
      <c r="S5" s="92"/>
      <c r="T5" s="93"/>
      <c r="U5" s="99"/>
      <c r="V5" s="99"/>
      <c r="W5" s="101"/>
      <c r="X5" s="102"/>
      <c r="Y5" s="103"/>
      <c r="Z5" s="104"/>
      <c r="AA5" s="105"/>
      <c r="AB5" s="106"/>
      <c r="AC5" s="107"/>
      <c r="AD5" s="108"/>
      <c r="AE5" s="109"/>
      <c r="AF5" s="110"/>
      <c r="AG5" s="110"/>
      <c r="AH5" s="111"/>
      <c r="AI5" s="111"/>
      <c r="AJ5" s="111"/>
    </row>
    <row r="6">
      <c r="A6" s="2" t="str">
        <f>'Reducing radiator temp'!A119</f>
        <v>… to Flow 60°C (same indoor temp)</v>
      </c>
      <c r="B6" s="113">
        <f>ROUND('Reducing radiator temp'!B119,-1)</f>
        <v>220</v>
      </c>
      <c r="C6" s="115">
        <f>ROUND('Reducing radiator temp'!C119,-1)</f>
        <v>320</v>
      </c>
      <c r="D6" s="117">
        <f>ROUND('Reducing radiator temp'!D119,-1)</f>
        <v>420</v>
      </c>
      <c r="E6" s="113">
        <f>ROUND('Reducing radiator temp'!E119,-1)</f>
        <v>0</v>
      </c>
      <c r="F6" s="115">
        <f>ROUND('Reducing radiator temp'!F119,-1)</f>
        <v>0</v>
      </c>
      <c r="G6" s="117">
        <f>ROUND('Reducing radiator temp'!G119,-1)</f>
        <v>0</v>
      </c>
      <c r="H6" s="113">
        <f>ROUND('Reducing radiator temp'!H119,-1)</f>
        <v>0</v>
      </c>
      <c r="I6" s="115">
        <f>ROUND('Reducing radiator temp'!I119,-1)</f>
        <v>0</v>
      </c>
      <c r="J6" s="117">
        <f>ROUND('Reducing radiator temp'!J119,-1)</f>
        <v>0</v>
      </c>
      <c r="K6" s="127">
        <f>C6/MeanDomesticGasBill</f>
        <v>0.03240120355</v>
      </c>
      <c r="L6" s="130">
        <f>'Reducing radiator temp'!K119/1000</f>
        <v>6.420848389</v>
      </c>
      <c r="M6" s="130">
        <f>'Reducing radiator temp'!L119/1000</f>
        <v>7.517606196</v>
      </c>
      <c r="N6" s="130">
        <f>'Reducing radiator temp'!M119/1000</f>
        <v>8.669913674</v>
      </c>
      <c r="O6" s="133">
        <f>'Reducing radiator temp'!N119/1000</f>
        <v>0</v>
      </c>
      <c r="P6" s="137">
        <f>'Reducing radiator temp'!O119/1000</f>
        <v>0</v>
      </c>
      <c r="Q6" s="140">
        <f>'Reducing radiator temp'!P119/1000</f>
        <v>0</v>
      </c>
      <c r="R6" s="133">
        <f>'Reducing radiator temp'!Q119/1000</f>
        <v>0</v>
      </c>
      <c r="S6" s="137">
        <f>'Reducing radiator temp'!R119/1000</f>
        <v>0</v>
      </c>
      <c r="T6" s="140">
        <f>'Reducing radiator temp'!S119/1000</f>
        <v>0</v>
      </c>
      <c r="U6" s="151">
        <f>(L6+O6+R6)/numberDwellingsUK*1000000</f>
        <v>0.2094770418</v>
      </c>
      <c r="V6" s="151">
        <f>(M6+P6+S6)/numberDwellingsUK*1000000</f>
        <v>0.2452582294</v>
      </c>
      <c r="W6" s="156">
        <f>(N6+Q6+T6)/numberDwellingsUK*1000000</f>
        <v>0.2828516979</v>
      </c>
      <c r="X6" s="161">
        <f>(B6*gasPricePerkWh*L6+E6*oilPriceP*O6+H6*OffPeakTariff*R6)/100/SUM(L6,O6,R6)</f>
        <v>17.534</v>
      </c>
      <c r="Y6" s="165">
        <f>(C6*gasPricePerkWh*M6+F6*oilPriceP*P6+I6*OffPeakTariff*S6)/100/SUM(M6,P6,S6)</f>
        <v>25.504</v>
      </c>
      <c r="Z6" s="168">
        <f>(D6*gasPricePerkWh*N6+G6*oilPriceP*Q6+J6*OffPeakTariff*T6)/100/SUM(N6,Q6,T6)</f>
        <v>33.474</v>
      </c>
      <c r="AA6" s="171">
        <f>(B6*L6*carbonGasPerkWh+E6*O6*carbonOilPerkWh + H6*R6*carbonElectricityPerkWh)</f>
        <v>258.5033562</v>
      </c>
      <c r="AB6" s="173">
        <f>(C6*M6*carbonGasPerkWh+F6*P6*carbonOilPerkWh + I6*S6*carbonElectricityPerkWh)</f>
        <v>440.2310189</v>
      </c>
      <c r="AC6" s="174">
        <f>(D6*N6*carbonGasPerkWh+G6*Q6*carbonOilPerkWh + J6*T6*carbonElectricityPerkWh)</f>
        <v>666.369565</v>
      </c>
      <c r="AD6" s="177">
        <f t="shared" ref="AD6:AF6" si="1">(B6*L6+E6*O6+H6*R6)/1000</f>
        <v>1.412586646</v>
      </c>
      <c r="AE6" s="178">
        <f t="shared" si="1"/>
        <v>2.405633983</v>
      </c>
      <c r="AF6" s="180">
        <f t="shared" si="1"/>
        <v>3.641363743</v>
      </c>
      <c r="AG6" s="161">
        <f>ROUND(10000*(C6*M6*gasPricePerkWh+F6*P6*oilPricePerkWh+I6*S6*OffPeakTariff),-3)</f>
        <v>191729000</v>
      </c>
      <c r="AH6" s="184" t="str">
        <f>'Reducing radiator temp'!T119</f>
        <v>-</v>
      </c>
      <c r="AI6" s="184" t="s">
        <v>85</v>
      </c>
      <c r="AJ6" s="184" t="s">
        <v>86</v>
      </c>
      <c r="AL6" s="185"/>
      <c r="AM6" s="186"/>
      <c r="AN6" s="186"/>
      <c r="AO6" s="187"/>
    </row>
    <row r="7">
      <c r="A7" s="2" t="str">
        <f>'Reducing radiator temp'!A120</f>
        <v>… to Flow 55°C (same indoor temp)</v>
      </c>
      <c r="B7" s="113">
        <f>ROUND('Reducing radiator temp'!B120,-1)</f>
        <v>310</v>
      </c>
      <c r="C7" s="115">
        <f>ROUND('Reducing radiator temp'!C120,-1)</f>
        <v>410</v>
      </c>
      <c r="D7" s="117">
        <f>ROUND('Reducing radiator temp'!D120,-1)</f>
        <v>510</v>
      </c>
      <c r="E7" s="113">
        <f>ROUND('Reducing radiator temp'!E120,-1)</f>
        <v>0</v>
      </c>
      <c r="F7" s="115">
        <f>ROUND('Reducing radiator temp'!F120,-1)</f>
        <v>0</v>
      </c>
      <c r="G7" s="117">
        <f>ROUND('Reducing radiator temp'!G120,-1)</f>
        <v>0</v>
      </c>
      <c r="H7" s="113">
        <f>ROUND('Reducing radiator temp'!H120,-1)</f>
        <v>0</v>
      </c>
      <c r="I7" s="115">
        <f>ROUND('Reducing radiator temp'!I120,-1)</f>
        <v>0</v>
      </c>
      <c r="J7" s="117">
        <f>ROUND('Reducing radiator temp'!J120,-1)</f>
        <v>0</v>
      </c>
      <c r="K7" s="127">
        <f>C7/MeanDomesticGasBill</f>
        <v>0.04151404205</v>
      </c>
      <c r="L7" s="130">
        <f>'Reducing radiator temp'!K120/1000</f>
        <v>5.245677815</v>
      </c>
      <c r="M7" s="130">
        <f>'Reducing radiator temp'!L120/1000</f>
        <v>6.921608638</v>
      </c>
      <c r="N7" s="130">
        <f>'Reducing radiator temp'!M120/1000</f>
        <v>8.846258634</v>
      </c>
      <c r="O7" s="133">
        <f>'Reducing radiator temp'!N120/1000</f>
        <v>0</v>
      </c>
      <c r="P7" s="137">
        <f>'Reducing radiator temp'!O120/1000</f>
        <v>0</v>
      </c>
      <c r="Q7" s="140">
        <f>'Reducing radiator temp'!P120/1000</f>
        <v>0</v>
      </c>
      <c r="R7" s="133">
        <f>'Reducing radiator temp'!Q120/1000</f>
        <v>0</v>
      </c>
      <c r="S7" s="137">
        <f>'Reducing radiator temp'!R120/1000</f>
        <v>0</v>
      </c>
      <c r="T7" s="140">
        <f>'Reducing radiator temp'!S120/1000</f>
        <v>0</v>
      </c>
      <c r="U7" s="151">
        <f>(L7+O7+R7)/numberDwellingsUK*1000000</f>
        <v>0.1711376759</v>
      </c>
      <c r="V7" s="151">
        <f>(M7+P7+S7)/numberDwellingsUK*1000000</f>
        <v>0.2258141003</v>
      </c>
      <c r="W7" s="156">
        <f>(N7+Q7+T7)/numberDwellingsUK*1000000</f>
        <v>0.2886048661</v>
      </c>
      <c r="X7" s="161">
        <f>(B7*gasPricePerkWh*L7+E7*oilPriceP*O7+H7*OffPeakTariff*R7)/100/SUM(L7,O7,R7)</f>
        <v>24.707</v>
      </c>
      <c r="Y7" s="165">
        <f>(C7*gasPricePerkWh*M7+F7*oilPriceP*P7+I7*OffPeakTariff*S7)/100/SUM(M7,P7,S7)</f>
        <v>32.677</v>
      </c>
      <c r="Z7" s="168">
        <f>(D7*gasPricePerkWh*N7+G7*oilPriceP*Q7+J7*OffPeakTariff*T7)/100/SUM(N7,Q7,T7)</f>
        <v>40.647</v>
      </c>
      <c r="AA7" s="171">
        <f>(B7*L7*carbonGasPerkWh+E7*O7*carbonOilPerkWh + H7*R7*carbonElectricityPerkWh)</f>
        <v>297.5873025</v>
      </c>
      <c r="AB7" s="173">
        <f>(C7*M7*carbonGasPerkWh+F7*P7*carbonOilPerkWh + I7*S7*carbonElectricityPerkWh)</f>
        <v>519.3282961</v>
      </c>
      <c r="AC7" s="174">
        <f>(D7*N7*carbonGasPerkWh+G7*Q7*carbonOilPerkWh + J7*T7*carbonElectricityPerkWh)</f>
        <v>825.6213183</v>
      </c>
      <c r="AD7" s="177">
        <f t="shared" ref="AD7:AF7" si="2">(B7*L7+E7*O7+H7*R7)/1000</f>
        <v>1.626160123</v>
      </c>
      <c r="AE7" s="178">
        <f t="shared" si="2"/>
        <v>2.837859542</v>
      </c>
      <c r="AF7" s="180">
        <f t="shared" si="2"/>
        <v>4.511591904</v>
      </c>
      <c r="AG7" s="161">
        <f>ROUND(10000*(C7*M7*gasPricePerkWh+F7*P7*oilPricePerkWh+I7*S7*OffPeakTariff),-3)</f>
        <v>226177000</v>
      </c>
      <c r="AH7" s="184" t="str">
        <f>'Reducing radiator temp'!T120</f>
        <v>-</v>
      </c>
      <c r="AI7" s="184" t="s">
        <v>85</v>
      </c>
      <c r="AJ7" s="184" t="s">
        <v>86</v>
      </c>
      <c r="AL7" s="185"/>
      <c r="AM7" s="186"/>
      <c r="AN7" s="186"/>
      <c r="AO7" s="187"/>
    </row>
    <row r="8">
      <c r="A8" s="2" t="str">
        <f>'Reducing radiator temp'!A121</f>
        <v>… to Flow 60°C (lower indoor temp)</v>
      </c>
      <c r="B8" s="113">
        <f>ROUND('Reducing radiator temp'!B121,-1)</f>
        <v>470</v>
      </c>
      <c r="C8" s="115">
        <f>ROUND('Reducing radiator temp'!C121,-1)</f>
        <v>720</v>
      </c>
      <c r="D8" s="117">
        <f>ROUND('Reducing radiator temp'!D121,-1)</f>
        <v>800</v>
      </c>
      <c r="E8" s="113">
        <f>ROUND('Reducing radiator temp'!E121,-1)</f>
        <v>0</v>
      </c>
      <c r="F8" s="115">
        <f>ROUND('Reducing radiator temp'!F121,-1)</f>
        <v>0</v>
      </c>
      <c r="G8" s="117">
        <f>ROUND('Reducing radiator temp'!G121,-1)</f>
        <v>0</v>
      </c>
      <c r="H8" s="113">
        <f>ROUND('Reducing radiator temp'!H121,-1)</f>
        <v>0</v>
      </c>
      <c r="I8" s="115">
        <f>ROUND('Reducing radiator temp'!I121,-1)</f>
        <v>0</v>
      </c>
      <c r="J8" s="117">
        <f>ROUND('Reducing radiator temp'!J121,-1)</f>
        <v>0</v>
      </c>
      <c r="K8" s="127">
        <f>C8/MeanDomesticGasBill</f>
        <v>0.07290270799</v>
      </c>
      <c r="L8" s="130">
        <f>'Reducing radiator temp'!K121/1000</f>
        <v>6.420848389</v>
      </c>
      <c r="M8" s="130">
        <f>'Reducing radiator temp'!L121/1000</f>
        <v>7.517606196</v>
      </c>
      <c r="N8" s="130">
        <f>'Reducing radiator temp'!M121/1000</f>
        <v>8.669913674</v>
      </c>
      <c r="O8" s="133">
        <f>'Reducing radiator temp'!N121/1000</f>
        <v>0</v>
      </c>
      <c r="P8" s="137">
        <f>'Reducing radiator temp'!O121/1000</f>
        <v>0</v>
      </c>
      <c r="Q8" s="140">
        <f>'Reducing radiator temp'!P121/1000</f>
        <v>0</v>
      </c>
      <c r="R8" s="133">
        <f>'Reducing radiator temp'!Q121/1000</f>
        <v>0</v>
      </c>
      <c r="S8" s="137">
        <f>'Reducing radiator temp'!R121/1000</f>
        <v>0</v>
      </c>
      <c r="T8" s="140">
        <f>'Reducing radiator temp'!S121/1000</f>
        <v>0</v>
      </c>
      <c r="U8" s="151">
        <f>(L8+O8+R8)/numberDwellingsUK*1000000</f>
        <v>0.2094770418</v>
      </c>
      <c r="V8" s="151">
        <f>(M8+P8+S8)/numberDwellingsUK*1000000</f>
        <v>0.2452582294</v>
      </c>
      <c r="W8" s="156">
        <f>(N8+Q8+T8)/numberDwellingsUK*1000000</f>
        <v>0.2828516979</v>
      </c>
      <c r="X8" s="161">
        <f>(B8*gasPricePerkWh*L8+E8*oilPriceP*O8+H8*OffPeakTariff*R8)/100/SUM(L8,O8,R8)</f>
        <v>37.459</v>
      </c>
      <c r="Y8" s="165">
        <f>(C8*gasPricePerkWh*M8+F8*oilPriceP*P8+I8*OffPeakTariff*S8)/100/SUM(M8,P8,S8)</f>
        <v>57.384</v>
      </c>
      <c r="Z8" s="168">
        <f>(D8*gasPricePerkWh*N8+G8*oilPriceP*Q8+J8*OffPeakTariff*T8)/100/SUM(N8,Q8,T8)</f>
        <v>63.76</v>
      </c>
      <c r="AA8" s="171">
        <f>(B8*L8*carbonGasPerkWh+E8*O8*carbonOilPerkWh + H8*R8*carbonElectricityPerkWh)</f>
        <v>552.25717</v>
      </c>
      <c r="AB8" s="173">
        <f>(C8*M8*carbonGasPerkWh+F8*P8*carbonOilPerkWh + I8*S8*carbonElectricityPerkWh)</f>
        <v>990.5197924</v>
      </c>
      <c r="AC8" s="174">
        <f>(D8*N8*carbonGasPerkWh+G8*Q8*carbonOilPerkWh + J8*T8*carbonElectricityPerkWh)</f>
        <v>1269.275362</v>
      </c>
      <c r="AD8" s="177">
        <f t="shared" ref="AD8:AF8" si="3">(B8*L8+E8*O8+H8*R8)/1000</f>
        <v>3.017798743</v>
      </c>
      <c r="AE8" s="178">
        <f t="shared" si="3"/>
        <v>5.412676461</v>
      </c>
      <c r="AF8" s="180">
        <f t="shared" si="3"/>
        <v>6.935930939</v>
      </c>
      <c r="AG8" s="161">
        <f>ROUND(10000*(C8*M8*gasPricePerkWh+F8*P8*oilPricePerkWh+I8*S8*OffPeakTariff),-3)</f>
        <v>431390000</v>
      </c>
      <c r="AH8" s="184" t="str">
        <f>'Reducing radiator temp'!T121</f>
        <v>comfort reduction</v>
      </c>
      <c r="AI8" s="184" t="s">
        <v>168</v>
      </c>
      <c r="AJ8" s="184" t="s">
        <v>86</v>
      </c>
      <c r="AL8" s="185"/>
      <c r="AM8" s="186"/>
      <c r="AN8" s="186"/>
      <c r="AO8" s="187"/>
    </row>
    <row r="9">
      <c r="A9" s="2" t="str">
        <f>'Reducing radiator temp'!A122</f>
        <v>… to Flow 55°C (lower indoor temp)</v>
      </c>
      <c r="B9" s="113">
        <f>ROUND('Reducing radiator temp'!B122,-1)</f>
        <v>670</v>
      </c>
      <c r="C9" s="115">
        <f>ROUND('Reducing radiator temp'!C122,-1)</f>
        <v>1030</v>
      </c>
      <c r="D9" s="117">
        <f>ROUND('Reducing radiator temp'!D122,-1)</f>
        <v>1130</v>
      </c>
      <c r="E9" s="113">
        <f>ROUND('Reducing radiator temp'!E122,-1)</f>
        <v>0</v>
      </c>
      <c r="F9" s="115">
        <f>ROUND('Reducing radiator temp'!F122,-1)</f>
        <v>0</v>
      </c>
      <c r="G9" s="117">
        <f>ROUND('Reducing radiator temp'!G122,-1)</f>
        <v>0</v>
      </c>
      <c r="H9" s="113">
        <f>ROUND('Reducing radiator temp'!H122,-1)</f>
        <v>0</v>
      </c>
      <c r="I9" s="115">
        <f>ROUND('Reducing radiator temp'!I122,-1)</f>
        <v>0</v>
      </c>
      <c r="J9" s="117">
        <f>ROUND('Reducing radiator temp'!J122,-1)</f>
        <v>0</v>
      </c>
      <c r="K9" s="127">
        <f>C9/MeanDomesticGasBill</f>
        <v>0.1042913739</v>
      </c>
      <c r="L9" s="130">
        <f>'Reducing radiator temp'!K122/1000</f>
        <v>5.245677815</v>
      </c>
      <c r="M9" s="130">
        <f>'Reducing radiator temp'!L122/1000</f>
        <v>6.921608638</v>
      </c>
      <c r="N9" s="130">
        <f>'Reducing radiator temp'!M122/1000</f>
        <v>8.846258634</v>
      </c>
      <c r="O9" s="133">
        <f>'Reducing radiator temp'!N122/1000</f>
        <v>0</v>
      </c>
      <c r="P9" s="137">
        <f>'Reducing radiator temp'!O122/1000</f>
        <v>0</v>
      </c>
      <c r="Q9" s="140">
        <f>'Reducing radiator temp'!P122/1000</f>
        <v>0</v>
      </c>
      <c r="R9" s="133">
        <f>'Reducing radiator temp'!Q122/1000</f>
        <v>0</v>
      </c>
      <c r="S9" s="137">
        <f>'Reducing radiator temp'!R122/1000</f>
        <v>0</v>
      </c>
      <c r="T9" s="140">
        <f>'Reducing radiator temp'!S122/1000</f>
        <v>0</v>
      </c>
      <c r="U9" s="151">
        <f>(L9+O9+R9)/numberDwellingsUK*1000000</f>
        <v>0.1711376759</v>
      </c>
      <c r="V9" s="151">
        <f>(M9+P9+S9)/numberDwellingsUK*1000000</f>
        <v>0.2258141003</v>
      </c>
      <c r="W9" s="156">
        <f>(N9+Q9+T9)/numberDwellingsUK*1000000</f>
        <v>0.2886048661</v>
      </c>
      <c r="X9" s="161">
        <f>(B9*gasPricePerkWh*L9+E9*oilPriceP*O9+H9*OffPeakTariff*R9)/100/SUM(L9,O9,R9)</f>
        <v>53.399</v>
      </c>
      <c r="Y9" s="165">
        <f>(C9*gasPricePerkWh*M9+F9*oilPriceP*P9+I9*OffPeakTariff*S9)/100/SUM(M9,P9,S9)</f>
        <v>82.091</v>
      </c>
      <c r="Z9" s="168">
        <f>(D9*gasPricePerkWh*N9+G9*oilPriceP*Q9+J9*OffPeakTariff*T9)/100/SUM(N9,Q9,T9)</f>
        <v>90.061</v>
      </c>
      <c r="AA9" s="171">
        <f>(B9*L9*carbonGasPerkWh+E9*O9*carbonOilPerkWh + H9*R9*carbonElectricityPerkWh)</f>
        <v>643.1725569</v>
      </c>
      <c r="AB9" s="173">
        <f>(C9*M9*carbonGasPerkWh+F9*P9*carbonOilPerkWh + I9*S9*carbonElectricityPerkWh)</f>
        <v>1304.654012</v>
      </c>
      <c r="AC9" s="174">
        <f>(D9*N9*carbonGasPerkWh+G9*Q9*carbonOilPerkWh + J9*T9*carbonElectricityPerkWh)</f>
        <v>1829.317823</v>
      </c>
      <c r="AD9" s="177">
        <f t="shared" ref="AD9:AF9" si="4">(B9*L9+E9*O9+H9*R9)/1000</f>
        <v>3.514604136</v>
      </c>
      <c r="AE9" s="178">
        <f t="shared" si="4"/>
        <v>7.129256898</v>
      </c>
      <c r="AF9" s="180">
        <f t="shared" si="4"/>
        <v>9.996272257</v>
      </c>
      <c r="AG9" s="161">
        <f>ROUND(10000*(C9*M9*gasPricePerkWh+F9*P9*oilPricePerkWh+I9*S9*OffPeakTariff),-3)</f>
        <v>568202000</v>
      </c>
      <c r="AH9" s="184" t="str">
        <f>'Reducing radiator temp'!T122</f>
        <v>comfort reduction</v>
      </c>
      <c r="AI9" s="184" t="s">
        <v>168</v>
      </c>
      <c r="AJ9" s="184" t="s">
        <v>86</v>
      </c>
      <c r="AL9" s="373"/>
      <c r="AM9" s="186"/>
      <c r="AN9" s="186"/>
      <c r="AO9" s="187"/>
    </row>
    <row r="10">
      <c r="A10" s="376" t="s">
        <v>201</v>
      </c>
      <c r="B10" s="113"/>
      <c r="C10" s="115"/>
      <c r="D10" s="117"/>
      <c r="E10" s="113"/>
      <c r="F10" s="115"/>
      <c r="G10" s="117"/>
      <c r="H10" s="113"/>
      <c r="I10" s="115"/>
      <c r="J10" s="117"/>
      <c r="K10" s="379"/>
      <c r="L10" s="130"/>
      <c r="M10" s="130"/>
      <c r="N10" s="130"/>
      <c r="O10" s="133"/>
      <c r="P10" s="137"/>
      <c r="Q10" s="140"/>
      <c r="R10" s="133"/>
      <c r="S10" s="137"/>
      <c r="T10" s="140"/>
      <c r="U10" s="380"/>
      <c r="V10" s="381"/>
      <c r="W10" s="383"/>
      <c r="X10" s="161"/>
      <c r="Y10" s="165"/>
      <c r="Z10" s="168"/>
      <c r="AA10" s="171"/>
      <c r="AB10" s="173"/>
      <c r="AC10" s="174"/>
      <c r="AD10" s="177"/>
      <c r="AE10" s="178"/>
      <c r="AF10" s="180"/>
      <c r="AG10" s="161"/>
      <c r="AH10" s="184"/>
      <c r="AI10" s="184"/>
      <c r="AJ10" s="184"/>
      <c r="AL10" s="373"/>
      <c r="AM10" s="186"/>
      <c r="AN10" s="186"/>
      <c r="AO10" s="187"/>
    </row>
    <row r="11">
      <c r="A11" s="386" t="s">
        <v>206</v>
      </c>
      <c r="B11" s="389">
        <f>'Reduce Room Thermostat'!B58</f>
        <v>717.2004519</v>
      </c>
      <c r="C11" s="390">
        <f>'Reduce Room Thermostat'!C58</f>
        <v>843.7652375</v>
      </c>
      <c r="D11" s="393">
        <f>'Reduce Room Thermostat'!D58</f>
        <v>1063.144199</v>
      </c>
      <c r="E11" s="389">
        <f>'Reduce Room Thermostat'!B59</f>
        <v>1204.604375</v>
      </c>
      <c r="F11" s="390">
        <f>'Reduce Room Thermostat'!C59</f>
        <v>1417.181618</v>
      </c>
      <c r="G11" s="393">
        <f>'Reduce Room Thermostat'!D59</f>
        <v>1785.648839</v>
      </c>
      <c r="H11" s="389">
        <f>'Reduce Room Thermostat'!B60</f>
        <v>403.2850295</v>
      </c>
      <c r="I11" s="390">
        <f>'Reduce Room Thermostat'!C60</f>
        <v>474.4529759</v>
      </c>
      <c r="J11" s="393">
        <f>'Reduce Room Thermostat'!D60</f>
        <v>597.8107496</v>
      </c>
      <c r="K11" s="396">
        <f>'Reduce Room Thermostat'!C53</f>
        <v>0.08543440378</v>
      </c>
      <c r="L11" s="399">
        <f>TotalGasBoilers*'Reduce Room Thermostat'!$B17/1000000</f>
        <v>10.88708832</v>
      </c>
      <c r="M11" s="399">
        <f>TotalGasBoilers*'Reduce Room Thermostat'!$D17/1000000</f>
        <v>11.52750528</v>
      </c>
      <c r="N11" s="399">
        <f>TotalGasBoilers*'Reduce Room Thermostat'!$C17/1000000</f>
        <v>12.16792224</v>
      </c>
      <c r="O11" s="404">
        <f>TotalOilBoilers*'Reduce Room Thermostat'!$B17/1000000</f>
        <v>0.695765375</v>
      </c>
      <c r="P11" s="399">
        <f>TotalOilBoilers*'Reduce Room Thermostat'!$D17/1000000</f>
        <v>0.73669275</v>
      </c>
      <c r="Q11" s="399">
        <f>TotalOilBoilers*'Reduce Room Thermostat'!$C17/1000000</f>
        <v>0.777620125</v>
      </c>
      <c r="R11" s="404">
        <f>(TotalStorageHeaters+TotalOtherElectricHeaters)*'Reduce Room Thermostat'!$B17/1000000</f>
        <v>0.99321055</v>
      </c>
      <c r="S11" s="399">
        <f>(TotalStorageHeaters+TotalOtherElectricHeaters)*'Reduce Room Thermostat'!$D17/1000000</f>
        <v>1.0516347</v>
      </c>
      <c r="T11" s="399">
        <f>(TotalStorageHeaters+TotalOtherElectricHeaters)*'Reduce Room Thermostat'!$C17/1000000</f>
        <v>1.11005885</v>
      </c>
      <c r="U11" s="412">
        <f>'Reduce Room Thermostat'!B17</f>
        <v>0.425</v>
      </c>
      <c r="V11" s="151">
        <f>'Reduce Room Thermostat'!D17</f>
        <v>0.45</v>
      </c>
      <c r="W11" s="156">
        <f>'Reduce Room Thermostat'!C17</f>
        <v>0.475</v>
      </c>
      <c r="X11" s="161">
        <f>'Reduce Room Thermostat'!E62</f>
        <v>61.90118923</v>
      </c>
      <c r="Y11" s="165">
        <f>'Reduce Room Thermostat'!F62</f>
        <v>72.8322333</v>
      </c>
      <c r="Z11" s="168">
        <f>'Reduce Room Thermostat'!G62</f>
        <v>92.30273531</v>
      </c>
      <c r="AA11" s="171">
        <f>(B11*L11*carbonGasPerkWh+E11*O11*carbonOilPerkWh + H11*R11*carbonElectricityPerkWh)</f>
        <v>1726.094867</v>
      </c>
      <c r="AB11" s="173">
        <f>(C11*M11*carbonGasPerkWh+F11*P11*carbonOilPerkWh + I11*S11*carbonElectricityPerkWh)</f>
        <v>2150.152775</v>
      </c>
      <c r="AC11" s="174">
        <f>(D11*N11*carbonGasPerkWh+G11*Q11*carbonOilPerkWh + J11*T11*carbonElectricityPerkWh)</f>
        <v>2859.703191</v>
      </c>
      <c r="AD11" s="177">
        <f t="shared" ref="AD11:AF11" si="5">(B11*L11+E11*O11+H11*R11)/1000</f>
        <v>9.046893623</v>
      </c>
      <c r="AE11" s="178">
        <f t="shared" si="5"/>
        <v>11.26948687</v>
      </c>
      <c r="AF11" s="180">
        <f t="shared" si="5"/>
        <v>14.98841753</v>
      </c>
      <c r="AG11" s="161">
        <f>ROUND(10000*(C11*M11*gasPricePerkWh+F11*P11*oilPricePerkWh+I11*S11*OffPeakTariff),-3)</f>
        <v>950918000</v>
      </c>
      <c r="AH11" s="184" t="s">
        <v>227</v>
      </c>
      <c r="AI11" s="184" t="s">
        <v>85</v>
      </c>
      <c r="AJ11" s="184" t="s">
        <v>86</v>
      </c>
      <c r="AL11" s="373"/>
      <c r="AM11" s="186"/>
      <c r="AN11" s="186"/>
      <c r="AO11" s="187"/>
    </row>
    <row r="12">
      <c r="A12" s="386" t="s">
        <v>229</v>
      </c>
      <c r="B12" s="389">
        <f>'Reduce Room Thermostat'!B63</f>
        <v>1417.631828</v>
      </c>
      <c r="C12" s="390">
        <f>'Reduce Room Thermostat'!C63</f>
        <v>1667.802151</v>
      </c>
      <c r="D12" s="393">
        <f>'Reduce Room Thermostat'!D63</f>
        <v>2101.43071</v>
      </c>
      <c r="E12" s="389">
        <f>'Reduce Room Thermostat'!B64</f>
        <v>2381.04354</v>
      </c>
      <c r="F12" s="390">
        <f>'Reduce Room Thermostat'!C64</f>
        <v>2801.227694</v>
      </c>
      <c r="G12" s="393">
        <f>'Reduce Room Thermostat'!D64</f>
        <v>3529.546895</v>
      </c>
      <c r="H12" s="389">
        <f>'Reduce Room Thermostat'!B65</f>
        <v>1082.869943</v>
      </c>
      <c r="I12" s="390">
        <f>'Reduce Room Thermostat'!C65</f>
        <v>1273.964639</v>
      </c>
      <c r="J12" s="393">
        <f>'Reduce Room Thermostat'!D65</f>
        <v>1605.195445</v>
      </c>
      <c r="K12" s="396">
        <f>'Reduce Room Thermostat'!C54</f>
        <v>0.1688712406</v>
      </c>
      <c r="L12" s="399">
        <f>TotalGasBoilers*'Reduce Room Thermostat'!$B18/1000000</f>
        <v>7.483253183</v>
      </c>
      <c r="M12" s="399">
        <f>TotalGasBoilers*'Reduce Room Thermostat'!$D18/1000000</f>
        <v>7.923444547</v>
      </c>
      <c r="N12" s="399">
        <f>TotalGasBoilers*'Reduce Room Thermostat'!$C18/1000000</f>
        <v>8.36363591</v>
      </c>
      <c r="O12" s="404">
        <f>TotalOilBoilers*'Reduce Room Thermostat'!$B18/1000000</f>
        <v>0.478235163</v>
      </c>
      <c r="P12" s="399">
        <f>TotalOilBoilers*'Reduce Room Thermostat'!$D18/1000000</f>
        <v>0.5063666432</v>
      </c>
      <c r="Q12" s="399">
        <f>TotalOilBoilers*'Reduce Room Thermostat'!$C18/1000000</f>
        <v>0.5344981233</v>
      </c>
      <c r="R12" s="404">
        <f>(TotalStorageHeaters+TotalOtherElectricHeaters)*'Reduce Room Thermostat'!$B18/1000000</f>
        <v>0.6826844599</v>
      </c>
      <c r="S12" s="399">
        <f>(TotalStorageHeaters+TotalOtherElectricHeaters)*'Reduce Room Thermostat'!$D18/1000000</f>
        <v>0.7228423693</v>
      </c>
      <c r="T12" s="399">
        <f>(TotalStorageHeaters+TotalOtherElectricHeaters)*'Reduce Room Thermostat'!$C18/1000000</f>
        <v>0.7630002787</v>
      </c>
      <c r="U12" s="412">
        <f>propTherm18OKLow</f>
        <v>0.2921242585</v>
      </c>
      <c r="V12" s="151">
        <f>propTherm18OKLikely</f>
        <v>0.3093080384</v>
      </c>
      <c r="W12" s="151">
        <f>propTherm18OKHigh</f>
        <v>0.3264918183</v>
      </c>
      <c r="X12" s="161">
        <f>'Reduce Room Thermostat'!E67</f>
        <v>127.086586</v>
      </c>
      <c r="Y12" s="165">
        <f>'Reduce Room Thermostat'!F67</f>
        <v>149.5983694</v>
      </c>
      <c r="Z12" s="168">
        <f>'Reduce Room Thermostat'!G67</f>
        <v>187.9798501</v>
      </c>
      <c r="AA12" s="171">
        <f>(B12*L12*carbonGasPerkWh+E12*O12*carbonOilPerkWh + H12*R12*carbonElectricityPerkWh)</f>
        <v>2379.652527</v>
      </c>
      <c r="AB12" s="173">
        <f>(C12*M12*carbonGasPerkWh+F12*P12*carbonOilPerkWh + I12*S12*carbonElectricityPerkWh)</f>
        <v>2964.273044</v>
      </c>
      <c r="AC12" s="174">
        <f>(D12*N12*carbonGasPerkWh+G12*Q12*carbonOilPerkWh + J12*T12*carbonElectricityPerkWh)</f>
        <v>3942.483148</v>
      </c>
      <c r="AD12" s="177">
        <f t="shared" ref="AD12:AF12" si="6">(B12*L12+E12*O12+H12*R12)/1000</f>
        <v>12.48645512</v>
      </c>
      <c r="AE12" s="178">
        <f t="shared" si="6"/>
        <v>15.55406174</v>
      </c>
      <c r="AF12" s="180">
        <f t="shared" si="6"/>
        <v>20.68690212</v>
      </c>
      <c r="AG12" s="161">
        <f>ROUND(10000*(C12*M12*gasPricePerkWh+F12*P12*oilPricePerkWh+I12*S12*OffPeakTariff),-3)</f>
        <v>1328394000</v>
      </c>
      <c r="AH12" s="184" t="s">
        <v>227</v>
      </c>
      <c r="AI12" s="184" t="s">
        <v>85</v>
      </c>
      <c r="AJ12" s="184" t="s">
        <v>86</v>
      </c>
      <c r="AL12" s="373"/>
      <c r="AM12" s="186"/>
      <c r="AN12" s="186"/>
      <c r="AO12" s="187"/>
    </row>
    <row r="13">
      <c r="A13" s="439" t="s">
        <v>252</v>
      </c>
      <c r="B13" s="440"/>
      <c r="C13" s="441"/>
      <c r="D13" s="442"/>
      <c r="E13" s="443"/>
      <c r="F13" s="441"/>
      <c r="G13" s="442"/>
      <c r="H13" s="443"/>
      <c r="I13" s="441"/>
      <c r="J13" s="442"/>
      <c r="K13" s="444"/>
      <c r="L13" s="445"/>
      <c r="M13" s="445"/>
      <c r="N13" s="445"/>
      <c r="O13" s="447"/>
      <c r="P13" s="448"/>
      <c r="Q13" s="449"/>
      <c r="R13" s="447"/>
      <c r="S13" s="448"/>
      <c r="T13" s="449"/>
      <c r="U13" s="99"/>
      <c r="V13" s="99"/>
      <c r="W13" s="101"/>
      <c r="X13" s="450"/>
      <c r="Y13" s="451"/>
      <c r="Z13" s="452"/>
      <c r="AA13" s="453"/>
      <c r="AB13" s="455"/>
      <c r="AC13" s="456"/>
      <c r="AD13" s="457"/>
      <c r="AE13" s="458"/>
      <c r="AF13" s="459"/>
      <c r="AG13" s="450"/>
      <c r="AH13" s="461"/>
      <c r="AI13" s="461"/>
      <c r="AJ13" s="461"/>
      <c r="AL13" s="373"/>
      <c r="AM13" s="186"/>
      <c r="AN13" s="186"/>
      <c r="AO13" s="187"/>
    </row>
    <row r="14" ht="27.75" customHeight="1">
      <c r="A14" s="386" t="s">
        <v>255</v>
      </c>
      <c r="B14" s="463">
        <f>'Shorter Heating Season'!B38</f>
        <v>738.9214793</v>
      </c>
      <c r="C14" s="464">
        <f>'Shorter Heating Season'!C38</f>
        <v>821.0238659</v>
      </c>
      <c r="D14" s="466">
        <f>'Shorter Heating Season'!D38</f>
        <v>903.1262525</v>
      </c>
      <c r="E14" s="463">
        <f>'Shorter Heating Season'!E38</f>
        <v>1241.086846</v>
      </c>
      <c r="F14" s="464">
        <f>'Shorter Heating Season'!F38</f>
        <v>1378.985385</v>
      </c>
      <c r="G14" s="466">
        <f>'Shorter Heating Season'!G38</f>
        <v>1516.883923</v>
      </c>
      <c r="H14" s="463">
        <f>'Shorter Heating Season'!H38</f>
        <v>415.4988606</v>
      </c>
      <c r="I14" s="464">
        <f>'Shorter Heating Season'!I38</f>
        <v>461.6654007</v>
      </c>
      <c r="J14" s="466">
        <f>'Shorter Heating Season'!J38</f>
        <v>507.8319408</v>
      </c>
      <c r="K14" s="471">
        <f>C14/MeanDomesticGasBill</f>
        <v>0.08313175438</v>
      </c>
      <c r="L14" s="399">
        <f>TotalGasBoilers* propTolerantShorterHeatingSeasonLow/1000000</f>
        <v>7.177658808</v>
      </c>
      <c r="M14" s="399">
        <f>TotalGasBoilers* propTolerantShorterHeatingSeasonMedium/1000000</f>
        <v>8.803827274</v>
      </c>
      <c r="N14" s="399">
        <f>TotalGasBoilers* propTolerantShorterHeatingSeasonHigh/1000000</f>
        <v>10.36269725</v>
      </c>
      <c r="O14" s="133">
        <f>TotalOilBoilers*propTolerantShorterHeatingSeasonLow/1000000</f>
        <v>0.4587054247</v>
      </c>
      <c r="P14" s="137">
        <f>TotalOilBoilers*propTolerantShorterHeatingSeasonMedium/1000000</f>
        <v>0.5626296035</v>
      </c>
      <c r="Q14" s="140">
        <f>TotalOilBoilers*propTolerantShorterHeatingSeasonHigh/1000000</f>
        <v>0.6622529113</v>
      </c>
      <c r="R14" s="133">
        <f>TotalDomesticElecHeating*propTolerantShorterHeatingSeasonLow/1000000</f>
        <v>0.6548056048</v>
      </c>
      <c r="S14" s="137">
        <f>TotalDomesticElecHeating*propTolerantShorterHeatingSeasonMedium/1000000</f>
        <v>0.8031581881</v>
      </c>
      <c r="T14" s="140">
        <f>TotalDomesticElecHeating*propTolerantShorterHeatingSeasonHigh/1000000</f>
        <v>0.9453712443</v>
      </c>
      <c r="U14" s="151">
        <f>propTolerantShorterHeatingSeasonLow</f>
        <v>0.2801947503</v>
      </c>
      <c r="V14" s="151">
        <f>propTolerantShorterHeatingSeasonMedium</f>
        <v>0.3436755982</v>
      </c>
      <c r="W14" s="151">
        <f>propTolerantShorterHeatingSeasonHigh</f>
        <v>0.4045293103</v>
      </c>
      <c r="X14" s="161">
        <f>(B14*gasPricePerkWh*L14+E14*oilPriceP*O14+H14*OffPeakTariff*R14)/100/SUM(L14,O14,R14)</f>
        <v>62.5390411</v>
      </c>
      <c r="Y14" s="165">
        <f>(C14*gasPricePerkWh*M14+F14*oilPriceP*P14+I14*OffPeakTariff*S14)/100/SUM(M14,P14,S14)</f>
        <v>69.48782345</v>
      </c>
      <c r="Z14" s="168">
        <f>(D14*gasPricePerkWh*N14+G14*oilPriceP*Q14+J14*OffPeakTariff*T14)/100/SUM(N14,Q14,T14)</f>
        <v>76.43660579</v>
      </c>
      <c r="AA14" s="171">
        <f>(B14*L14*carbonGasPerkWh+E14*O14*carbonOilPerkWh + H14*R14*carbonElectricityPerkWh)</f>
        <v>1172.447653</v>
      </c>
      <c r="AB14" s="173">
        <f>(C14*M14*carbonGasPerkWh+F14*P14*carbonOilPerkWh + I14*S14*carbonElectricityPerkWh)</f>
        <v>1597.863423</v>
      </c>
      <c r="AC14" s="174">
        <f>(D14*N14*carbonGasPerkWh+G14*Q14*carbonOilPerkWh + J14*T14*carbonElectricityPerkWh)</f>
        <v>2068.872073</v>
      </c>
      <c r="AD14" s="177">
        <f t="shared" ref="AD14:AF14" si="7">(B14*L14+E14*O14+H14*R14)/1000</f>
        <v>6.145090516</v>
      </c>
      <c r="AE14" s="178">
        <f t="shared" si="7"/>
        <v>8.374800651</v>
      </c>
      <c r="AF14" s="180">
        <f t="shared" si="7"/>
        <v>10.84347444</v>
      </c>
      <c r="AG14" s="161">
        <f>ROUND(10000*(C14*M14*gasPricePerkWh+F14*P14*oilPricePerkWh+I14*S14*OffPeakTariff),-3)</f>
        <v>706664000</v>
      </c>
      <c r="AH14" s="184" t="s">
        <v>227</v>
      </c>
      <c r="AI14" s="184" t="s">
        <v>168</v>
      </c>
      <c r="AJ14" s="184" t="s">
        <v>86</v>
      </c>
      <c r="AL14" s="373"/>
      <c r="AM14" s="186"/>
      <c r="AN14" s="186"/>
      <c r="AO14" s="187"/>
    </row>
    <row r="15" ht="27.75" customHeight="1">
      <c r="A15" s="386" t="s">
        <v>282</v>
      </c>
      <c r="B15" s="113">
        <f>'Shorter Heating Season'!B39</f>
        <v>536.2305552</v>
      </c>
      <c r="C15" s="115">
        <f>'Shorter Heating Season'!C39</f>
        <v>595.811728</v>
      </c>
      <c r="D15" s="117">
        <f>'Shorter Heating Season'!D39</f>
        <v>655.3929008</v>
      </c>
      <c r="E15" s="113">
        <f>'Shorter Heating Season'!E39</f>
        <v>900.6487255</v>
      </c>
      <c r="F15" s="115">
        <f>'Shorter Heating Season'!F39</f>
        <v>1000.720806</v>
      </c>
      <c r="G15" s="117">
        <f>'Shorter Heating Season'!G39</f>
        <v>1100.792887</v>
      </c>
      <c r="H15" s="113">
        <f>'Shorter Heating Season'!H39</f>
        <v>301.5248453</v>
      </c>
      <c r="I15" s="115">
        <f>'Shorter Heating Season'!I39</f>
        <v>335.0276058</v>
      </c>
      <c r="J15" s="117">
        <f>'Shorter Heating Season'!J39</f>
        <v>368.5303664</v>
      </c>
      <c r="K15" s="471">
        <f>C15/MeanDomesticGasBill</f>
        <v>0.06032817836</v>
      </c>
      <c r="L15" s="399">
        <f>TotalGasBoilers* propTolerantShorterHeatingSeasonLow/1000000</f>
        <v>7.177658808</v>
      </c>
      <c r="M15" s="399">
        <f>TotalGasBoilers* propTolerantShorterHeatingSeasonMedium/1000000</f>
        <v>8.803827274</v>
      </c>
      <c r="N15" s="399">
        <f>TotalGasBoilers* propTolerantShorterHeatingSeasonHigh/1000000</f>
        <v>10.36269725</v>
      </c>
      <c r="O15" s="133">
        <f>TotalOilBoilers*propTolerantShorterHeatingSeasonLow/1000000</f>
        <v>0.4587054247</v>
      </c>
      <c r="P15" s="137">
        <f>TotalOilBoilers*propTolerantShorterHeatingSeasonMedium/1000000</f>
        <v>0.5626296035</v>
      </c>
      <c r="Q15" s="140">
        <f>TotalOilBoilers*propTolerantShorterHeatingSeasonHigh/1000000</f>
        <v>0.6622529113</v>
      </c>
      <c r="R15" s="133">
        <f>TotalDomesticElecHeating*propTolerantShorterHeatingSeasonLow/1000000</f>
        <v>0.6548056048</v>
      </c>
      <c r="S15" s="137">
        <f>TotalDomesticElecHeating*propTolerantShorterHeatingSeasonMedium/1000000</f>
        <v>0.8031581881</v>
      </c>
      <c r="T15" s="140">
        <f>TotalDomesticElecHeating*propTolerantShorterHeatingSeasonHigh/1000000</f>
        <v>0.9453712443</v>
      </c>
      <c r="U15" s="151">
        <f>propTolerantShorterHeatingSeasonLow</f>
        <v>0.2801947503</v>
      </c>
      <c r="V15" s="151">
        <f>propTolerantShorterHeatingSeasonMedium</f>
        <v>0.3436755982</v>
      </c>
      <c r="W15" s="151">
        <f>propTolerantShorterHeatingSeasonHigh</f>
        <v>0.4045293103</v>
      </c>
      <c r="X15" s="161">
        <f>(B15*gasPricePerkWh*L15+E15*oilPriceP*O15+H15*OffPeakTariff*R15)/100/SUM(L15,O15,R15)</f>
        <v>45.38417906</v>
      </c>
      <c r="Y15" s="165">
        <f>(C15*gasPricePerkWh*M15+F15*oilPriceP*P15+I15*OffPeakTariff*S15)/100/SUM(M15,P15,S15)</f>
        <v>50.42686563</v>
      </c>
      <c r="Z15" s="168">
        <f>(D15*gasPricePerkWh*N15+G15*oilPriceP*Q15+J15*OffPeakTariff*T15)/100/SUM(N15,Q15,T15)</f>
        <v>55.46955219</v>
      </c>
      <c r="AA15" s="171">
        <f>(B15*L15*carbonGasPerkWh+E15*O15*carbonOilPerkWh + H15*R15*carbonElectricityPerkWh)</f>
        <v>850.8377053</v>
      </c>
      <c r="AB15" s="173">
        <f>(C15*M15*carbonGasPerkWh+F15*P15*carbonOilPerkWh + I15*S15*carbonElectricityPerkWh)</f>
        <v>1159.559188</v>
      </c>
      <c r="AC15" s="174">
        <f>(D15*N15*carbonGasPerkWh+G15*Q15*carbonOilPerkWh + J15*T15*carbonElectricityPerkWh)</f>
        <v>1501.367129</v>
      </c>
      <c r="AD15" s="177">
        <f t="shared" ref="AD15:AF15" si="8">(B15*L15+E15*O15+H15*R15)/1000</f>
        <v>4.459452582</v>
      </c>
      <c r="AE15" s="178">
        <f t="shared" si="8"/>
        <v>6.077538856</v>
      </c>
      <c r="AF15" s="180">
        <f t="shared" si="8"/>
        <v>7.869039513</v>
      </c>
      <c r="AG15" s="161">
        <f>ROUND(10000*(C15*M15*gasPricePerkWh+F15*P15*oilPricePerkWh+I15*S15*OffPeakTariff),-3)</f>
        <v>512822000</v>
      </c>
      <c r="AH15" s="184" t="s">
        <v>227</v>
      </c>
      <c r="AI15" s="184" t="s">
        <v>168</v>
      </c>
      <c r="AJ15" s="184" t="s">
        <v>86</v>
      </c>
      <c r="AL15" s="373"/>
      <c r="AM15" s="186"/>
      <c r="AN15" s="186"/>
      <c r="AO15" s="187"/>
    </row>
    <row r="16">
      <c r="A16" s="519" t="s">
        <v>298</v>
      </c>
      <c r="B16" s="113">
        <f>'Shorter Heating Season'!B40</f>
        <v>1275.152035</v>
      </c>
      <c r="C16" s="115">
        <f>'Shorter Heating Season'!C40</f>
        <v>1416.835594</v>
      </c>
      <c r="D16" s="117">
        <f>'Shorter Heating Season'!D40</f>
        <v>1558.519153</v>
      </c>
      <c r="E16" s="113">
        <f>'Shorter Heating Season'!E40</f>
        <v>2141.735572</v>
      </c>
      <c r="F16" s="115">
        <f>'Shorter Heating Season'!F40</f>
        <v>2379.706191</v>
      </c>
      <c r="G16" s="117">
        <f>'Shorter Heating Season'!G40</f>
        <v>2617.67681</v>
      </c>
      <c r="H16" s="113">
        <f>'Shorter Heating Season'!H40</f>
        <v>717.0237059</v>
      </c>
      <c r="I16" s="115">
        <f>'Shorter Heating Season'!I40</f>
        <v>796.6930065</v>
      </c>
      <c r="J16" s="117">
        <f>'Shorter Heating Season'!J40</f>
        <v>876.3623072</v>
      </c>
      <c r="K16" s="471">
        <f>C16/MeanDomesticGasBill</f>
        <v>0.1434599327</v>
      </c>
      <c r="L16" s="399">
        <f>TotalGasBoilers* propTolerantShorterHeatingSeasonLow/1000000</f>
        <v>7.177658808</v>
      </c>
      <c r="M16" s="399">
        <f>TotalGasBoilers* propTolerantShorterHeatingSeasonMedium/1000000</f>
        <v>8.803827274</v>
      </c>
      <c r="N16" s="399">
        <f>TotalGasBoilers* propTolerantShorterHeatingSeasonHigh/1000000</f>
        <v>10.36269725</v>
      </c>
      <c r="O16" s="133">
        <f>TotalOilBoilers*propTolerantShorterHeatingSeasonLow/1000000</f>
        <v>0.4587054247</v>
      </c>
      <c r="P16" s="137">
        <f>TotalOilBoilers*propTolerantShorterHeatingSeasonMedium/1000000</f>
        <v>0.5626296035</v>
      </c>
      <c r="Q16" s="140">
        <f>TotalOilBoilers*propTolerantShorterHeatingSeasonHigh/1000000</f>
        <v>0.6622529113</v>
      </c>
      <c r="R16" s="133">
        <f>TotalDomesticElecHeating*propTolerantShorterHeatingSeasonLow/1000000</f>
        <v>0.6548056048</v>
      </c>
      <c r="S16" s="137">
        <f>TotalDomesticElecHeating*propTolerantShorterHeatingSeasonMedium/1000000</f>
        <v>0.8031581881</v>
      </c>
      <c r="T16" s="140">
        <f>TotalDomesticElecHeating*propTolerantShorterHeatingSeasonHigh/1000000</f>
        <v>0.9453712443</v>
      </c>
      <c r="U16" s="151">
        <f>propTolerantShorterHeatingSeasonLow</f>
        <v>0.2801947503</v>
      </c>
      <c r="V16" s="151">
        <f>propTolerantShorterHeatingSeasonMedium</f>
        <v>0.3436755982</v>
      </c>
      <c r="W16" s="151">
        <f>propTolerantShorterHeatingSeasonHigh</f>
        <v>0.4045293103</v>
      </c>
      <c r="X16" s="161">
        <f>(B16*gasPricePerkWh*L16+E16*oilPriceP*O16+H16*OffPeakTariff*R16)/100/SUM(L16,O16,R16)</f>
        <v>107.9232202</v>
      </c>
      <c r="Y16" s="165">
        <f>(C16*gasPricePerkWh*M16+F16*oilPriceP*P16+I16*OffPeakTariff*S16)/100/SUM(M16,P16,S16)</f>
        <v>119.9146891</v>
      </c>
      <c r="Z16" s="168">
        <f>(D16*gasPricePerkWh*N16+G16*oilPriceP*Q16+J16*OffPeakTariff*T16)/100/SUM(N16,Q16,T16)</f>
        <v>131.906158</v>
      </c>
      <c r="AA16" s="171">
        <f>(B16*L16*carbonGasPerkWh+E16*O16*carbonOilPerkWh + H16*R16*carbonElectricityPerkWh)</f>
        <v>2023.285358</v>
      </c>
      <c r="AB16" s="173">
        <f>(C16*M16*carbonGasPerkWh+F16*P16*carbonOilPerkWh + I16*S16*carbonElectricityPerkWh)</f>
        <v>2757.422611</v>
      </c>
      <c r="AC16" s="174">
        <f>(D16*N16*carbonGasPerkWh+G16*Q16*carbonOilPerkWh + J16*T16*carbonElectricityPerkWh)</f>
        <v>3570.239202</v>
      </c>
      <c r="AD16" s="177">
        <f t="shared" ref="AD16:AF16" si="9">(B16*L16+E16*O16+H16*R16)/1000</f>
        <v>10.6045431</v>
      </c>
      <c r="AE16" s="178">
        <f t="shared" si="9"/>
        <v>14.45233951</v>
      </c>
      <c r="AF16" s="180">
        <f t="shared" si="9"/>
        <v>18.71251395</v>
      </c>
      <c r="AG16" s="161">
        <f>ROUND(10000*(C16*M16*gasPricePerkWh+F16*P16*oilPricePerkWh+I16*S16*OffPeakTariff),-3)</f>
        <v>1219486000</v>
      </c>
      <c r="AH16" s="184" t="s">
        <v>227</v>
      </c>
      <c r="AI16" s="184" t="s">
        <v>168</v>
      </c>
      <c r="AJ16" s="184" t="s">
        <v>86</v>
      </c>
      <c r="AL16" s="373"/>
      <c r="AM16" s="186"/>
      <c r="AN16" s="186"/>
      <c r="AO16" s="187"/>
    </row>
    <row r="17" ht="15.75" customHeight="1">
      <c r="A17" s="439" t="s">
        <v>302</v>
      </c>
      <c r="B17" s="443"/>
      <c r="C17" s="441"/>
      <c r="D17" s="442"/>
      <c r="E17" s="443"/>
      <c r="F17" s="441"/>
      <c r="G17" s="442"/>
      <c r="H17" s="443"/>
      <c r="I17" s="441"/>
      <c r="J17" s="442"/>
      <c r="K17" s="235"/>
      <c r="L17" s="445"/>
      <c r="M17" s="445"/>
      <c r="N17" s="445"/>
      <c r="O17" s="447"/>
      <c r="P17" s="448"/>
      <c r="Q17" s="449"/>
      <c r="R17" s="447"/>
      <c r="S17" s="448"/>
      <c r="T17" s="449"/>
      <c r="U17" s="99"/>
      <c r="V17" s="99"/>
      <c r="W17" s="101"/>
      <c r="X17" s="450"/>
      <c r="Y17" s="451"/>
      <c r="Z17" s="452"/>
      <c r="AA17" s="453"/>
      <c r="AB17" s="455"/>
      <c r="AC17" s="456"/>
      <c r="AD17" s="457"/>
      <c r="AE17" s="458"/>
      <c r="AF17" s="459"/>
      <c r="AG17" s="450"/>
      <c r="AH17" s="461"/>
      <c r="AI17" s="461"/>
      <c r="AJ17" s="461"/>
      <c r="AL17" s="373"/>
      <c r="AM17" s="186"/>
      <c r="AN17" s="186"/>
      <c r="AO17" s="187"/>
    </row>
    <row r="18" ht="15.0" customHeight="1">
      <c r="A18" s="386" t="s">
        <v>304</v>
      </c>
      <c r="B18" s="115">
        <f>'Draught Stripping'!B49</f>
        <v>0</v>
      </c>
      <c r="C18" s="115">
        <f>'Draught Stripping'!C49</f>
        <v>73.87058728</v>
      </c>
      <c r="D18" s="115">
        <f>'Draught Stripping'!D49</f>
        <v>147.7411746</v>
      </c>
      <c r="E18" s="113">
        <f>'Draught Stripping'!E49</f>
        <v>0</v>
      </c>
      <c r="F18" s="115">
        <f>'Draught Stripping'!F49</f>
        <v>124.0724715</v>
      </c>
      <c r="G18" s="115">
        <f>'Draught Stripping'!G49</f>
        <v>248.144943</v>
      </c>
      <c r="H18" s="113">
        <f>'Draught Stripping'!H49</f>
        <v>0</v>
      </c>
      <c r="I18" s="115">
        <f>'Draught Stripping'!I49</f>
        <v>41.53776241</v>
      </c>
      <c r="J18" s="115">
        <f>'Draught Stripping'!J49</f>
        <v>83.07552482</v>
      </c>
      <c r="K18" s="127">
        <f>C18/MeanDomesticGasBill</f>
        <v>0.007479674797</v>
      </c>
      <c r="L18" s="399">
        <f>'Draught Stripping'!K49</f>
        <v>8.862074674</v>
      </c>
      <c r="M18" s="399">
        <f>'Draught Stripping'!L49</f>
        <v>11.07759334</v>
      </c>
      <c r="N18" s="399">
        <f>'Draught Stripping'!M49</f>
        <v>12.18535268</v>
      </c>
      <c r="O18" s="404">
        <f>'Draught Stripping'!N49</f>
        <v>0.5663520427</v>
      </c>
      <c r="P18" s="399">
        <f>'Draught Stripping'!O49</f>
        <v>0.7079400533</v>
      </c>
      <c r="Q18" s="525">
        <f>'Draught Stripping'!P49</f>
        <v>0.7787340587</v>
      </c>
      <c r="R18" s="404">
        <f>'Draught Stripping'!Q49</f>
        <v>0.8084719993</v>
      </c>
      <c r="S18" s="399">
        <f>'Draught Stripping'!R49</f>
        <v>1.010589999</v>
      </c>
      <c r="T18" s="525">
        <f>'Draught Stripping'!S49</f>
        <v>1.111648999</v>
      </c>
      <c r="U18" s="151">
        <f>(L18+O18+R18)/numberDwellingsUK*1000000</f>
        <v>0.3339738193</v>
      </c>
      <c r="V18" s="151">
        <f>(M18+P18+S18)/numberDwellingsUK*1000000</f>
        <v>0.4174672742</v>
      </c>
      <c r="W18" s="156">
        <f>(N18+Q18+T18)/numberDwellingsUK*1000000</f>
        <v>0.4592140016</v>
      </c>
      <c r="X18" s="161">
        <f>(B18*gasPricePerkWh*L18+E18*oilPriceP*O18+H18*OffPeakTariff*R18)/100/SUM(L18,O18,R18)</f>
        <v>0</v>
      </c>
      <c r="Y18" s="165">
        <f>(C18*gasPricePerkWh*M18+F18*oilPriceP*P18+I18*OffPeakTariff*S18)/100/SUM(M18,P18,S18)</f>
        <v>6.252079312</v>
      </c>
      <c r="Z18" s="165">
        <f>(D18*gasPricePerkWh*N18+G18*oilPriceP*Q18+J18*OffPeakTariff*T18)/100/SUM(N18,Q18,T18)</f>
        <v>12.50415862</v>
      </c>
      <c r="AA18" s="171">
        <f>(B18*L18*carbonGasPerkWh+E18*O18*carbonOilPerkWh + H18*R18*carbonElectricityPerkWh)</f>
        <v>0</v>
      </c>
      <c r="AB18" s="173">
        <f>(C18*M18*carbonGasPerkWh+F18*P18*carbonOilPerkWh + I18*S18*carbonElectricityPerkWh)</f>
        <v>180.8961527</v>
      </c>
      <c r="AC18" s="173">
        <f>(D18*N18*carbonGasPerkWh+G18*Q18*carbonOilPerkWh + J18*T18*carbonElectricityPerkWh)</f>
        <v>397.9715359</v>
      </c>
      <c r="AD18" s="177">
        <f t="shared" ref="AD18:AF18" si="10">(B18*L18+E18*O18+H18*R18)/1000</f>
        <v>0</v>
      </c>
      <c r="AE18" s="178">
        <f t="shared" si="10"/>
        <v>0.9481218452</v>
      </c>
      <c r="AF18" s="180">
        <f t="shared" si="10"/>
        <v>2.08586806</v>
      </c>
      <c r="AG18" s="161">
        <f>ROUND(10000*(C18*M18*gasPricePerkWh+F18*P18*oilPricePerkWh+I18*S18*OffPeakTariff),-3)</f>
        <v>80002000</v>
      </c>
      <c r="AH18" s="526" t="s">
        <v>310</v>
      </c>
      <c r="AI18" s="184" t="s">
        <v>168</v>
      </c>
      <c r="AJ18" s="184" t="s">
        <v>86</v>
      </c>
      <c r="AL18" s="373"/>
      <c r="AM18" s="186"/>
      <c r="AN18" s="186"/>
      <c r="AO18" s="187"/>
    </row>
    <row r="19" ht="15.0" customHeight="1">
      <c r="A19" s="386" t="s">
        <v>311</v>
      </c>
      <c r="B19" s="113">
        <f>'Draught Stripping'!B50</f>
        <v>0</v>
      </c>
      <c r="C19" s="115">
        <f>'Draught Stripping'!C50</f>
        <v>321.1764664</v>
      </c>
      <c r="D19" s="115">
        <f>'Draught Stripping'!D50</f>
        <v>642.3529329</v>
      </c>
      <c r="E19" s="113">
        <f>'Draught Stripping'!E50</f>
        <v>0</v>
      </c>
      <c r="F19" s="115">
        <f>'Draught Stripping'!F50</f>
        <v>539.4455284</v>
      </c>
      <c r="G19" s="115">
        <f>'Draught Stripping'!G50</f>
        <v>1078.891057</v>
      </c>
      <c r="H19" s="113">
        <f>'Draught Stripping'!H50</f>
        <v>0</v>
      </c>
      <c r="I19" s="115">
        <f>'Draught Stripping'!I50</f>
        <v>180.598967</v>
      </c>
      <c r="J19" s="115">
        <f>'Draught Stripping'!J50</f>
        <v>361.197934</v>
      </c>
      <c r="K19" s="127">
        <f>C19/MeanDomesticGasBill</f>
        <v>0.0325203252</v>
      </c>
      <c r="L19" s="399">
        <f>'Draught Stripping'!K50</f>
        <v>8.862074674</v>
      </c>
      <c r="M19" s="399">
        <f>'Draught Stripping'!L50</f>
        <v>11.07759334</v>
      </c>
      <c r="N19" s="399">
        <f>'Draught Stripping'!M50</f>
        <v>12.18535268</v>
      </c>
      <c r="O19" s="404">
        <f>'Draught Stripping'!N50</f>
        <v>0.5663520427</v>
      </c>
      <c r="P19" s="399">
        <f>'Draught Stripping'!O50</f>
        <v>0.7079400533</v>
      </c>
      <c r="Q19" s="525">
        <f>'Draught Stripping'!P50</f>
        <v>0.7787340587</v>
      </c>
      <c r="R19" s="404">
        <f>'Draught Stripping'!Q50</f>
        <v>0.8084719993</v>
      </c>
      <c r="S19" s="399">
        <f>'Draught Stripping'!R50</f>
        <v>1.010589999</v>
      </c>
      <c r="T19" s="525">
        <f>'Draught Stripping'!S50</f>
        <v>1.111648999</v>
      </c>
      <c r="U19" s="151">
        <f>(L19+O19+R19)/numberDwellingsUK*1000000</f>
        <v>0.3339738193</v>
      </c>
      <c r="V19" s="151">
        <f>(M19+P19+S19)/numberDwellingsUK*1000000</f>
        <v>0.4174672742</v>
      </c>
      <c r="W19" s="156">
        <f>(N19+Q19+T19)/numberDwellingsUK*1000000</f>
        <v>0.4592140016</v>
      </c>
      <c r="X19" s="161">
        <f>(B19*gasPricePerkWh*L19+E19*oilPriceP*O19+H19*OffPeakTariff*R19)/100/SUM(L19,O19,R19)</f>
        <v>0</v>
      </c>
      <c r="Y19" s="165">
        <f>(C19*gasPricePerkWh*M19+F19*oilPriceP*P19+I19*OffPeakTariff*S19)/100/SUM(M19,P19,S19)</f>
        <v>27.18295353</v>
      </c>
      <c r="Z19" s="165">
        <f>(D19*gasPricePerkWh*N19+G19*oilPriceP*Q19+J19*OffPeakTariff*T19)/100/SUM(N19,Q19,T19)</f>
        <v>54.36590706</v>
      </c>
      <c r="AA19" s="171">
        <f>(B19*L19*carbonGasPerkWh+E19*O19*carbonOilPerkWh + H19*R19*carbonElectricityPerkWh)</f>
        <v>0</v>
      </c>
      <c r="AB19" s="173">
        <f>(C19*M19*carbonGasPerkWh+F19*P19*carbonOilPerkWh + I19*S19*carbonElectricityPerkWh)</f>
        <v>786.5050116</v>
      </c>
      <c r="AC19" s="174">
        <f>(D19*N19*carbonGasPerkWh+G19*Q19*carbonOilPerkWh + J19*T19*carbonElectricityPerkWh)</f>
        <v>1730.311026</v>
      </c>
      <c r="AD19" s="177">
        <f t="shared" ref="AD19:AF19" si="11">(B19*L19+E19*O19+H19*R19)/1000</f>
        <v>0</v>
      </c>
      <c r="AE19" s="178">
        <f t="shared" si="11"/>
        <v>4.122268892</v>
      </c>
      <c r="AF19" s="180">
        <f t="shared" si="11"/>
        <v>9.068991563</v>
      </c>
      <c r="AG19" s="161">
        <f>ROUND(10000*(C19*M19*gasPricePerkWh+F19*P19*oilPricePerkWh+I19*S19*OffPeakTariff),-3)</f>
        <v>347836000</v>
      </c>
      <c r="AH19" s="526" t="s">
        <v>310</v>
      </c>
      <c r="AI19" s="184" t="s">
        <v>168</v>
      </c>
      <c r="AJ19" s="184" t="s">
        <v>86</v>
      </c>
      <c r="AL19" s="373"/>
      <c r="AM19" s="186"/>
      <c r="AN19" s="186"/>
      <c r="AO19" s="187"/>
    </row>
    <row r="20" ht="15.0" customHeight="1">
      <c r="A20" s="386" t="s">
        <v>313</v>
      </c>
      <c r="B20" s="113">
        <f>'Draught Stripping'!B51</f>
        <v>0</v>
      </c>
      <c r="C20" s="115">
        <f>'Draught Stripping'!C51</f>
        <v>395.0470537</v>
      </c>
      <c r="D20" s="115">
        <f>'Draught Stripping'!D51</f>
        <v>790.0941074</v>
      </c>
      <c r="E20" s="113">
        <f>'Draught Stripping'!E51</f>
        <v>0</v>
      </c>
      <c r="F20" s="115">
        <f>'Draught Stripping'!F51</f>
        <v>663.5179999</v>
      </c>
      <c r="G20" s="115">
        <f>'Draught Stripping'!G51</f>
        <v>1327.036</v>
      </c>
      <c r="H20" s="113">
        <f>'Draught Stripping'!H51</f>
        <v>0</v>
      </c>
      <c r="I20" s="115">
        <f>'Draught Stripping'!I51</f>
        <v>222.1367294</v>
      </c>
      <c r="J20" s="115">
        <f>'Draught Stripping'!J51</f>
        <v>444.2734588</v>
      </c>
      <c r="K20" s="127">
        <f>C20/MeanDomesticGasBill</f>
        <v>0.04</v>
      </c>
      <c r="L20" s="399">
        <f t="shared" ref="L20:T20" si="12">L19</f>
        <v>8.862074674</v>
      </c>
      <c r="M20" s="399">
        <f t="shared" si="12"/>
        <v>11.07759334</v>
      </c>
      <c r="N20" s="399">
        <f t="shared" si="12"/>
        <v>12.18535268</v>
      </c>
      <c r="O20" s="404">
        <f t="shared" si="12"/>
        <v>0.5663520427</v>
      </c>
      <c r="P20" s="399">
        <f t="shared" si="12"/>
        <v>0.7079400533</v>
      </c>
      <c r="Q20" s="525">
        <f t="shared" si="12"/>
        <v>0.7787340587</v>
      </c>
      <c r="R20" s="404">
        <f t="shared" si="12"/>
        <v>0.8084719993</v>
      </c>
      <c r="S20" s="399">
        <f t="shared" si="12"/>
        <v>1.010589999</v>
      </c>
      <c r="T20" s="525">
        <f t="shared" si="12"/>
        <v>1.111648999</v>
      </c>
      <c r="U20" s="151">
        <f>(L20+O20+R20)/numberDwellingsUK*1000000</f>
        <v>0.3339738193</v>
      </c>
      <c r="V20" s="151">
        <f>(M20+P20+S20)/numberDwellingsUK*1000000</f>
        <v>0.4174672742</v>
      </c>
      <c r="W20" s="156">
        <f>(N20+Q20+T20)/numberDwellingsUK*1000000</f>
        <v>0.4592140016</v>
      </c>
      <c r="X20" s="161">
        <f>(B20*gasPricePerkWh*L20+E20*oilPriceP*O20+H20*OffPeakTariff*R20)/100/SUM(L20,O20,R20)</f>
        <v>0</v>
      </c>
      <c r="Y20" s="165">
        <f>(C20*gasPricePerkWh*M20+F20*oilPriceP*P20+I20*OffPeakTariff*S20)/100/SUM(M20,P20,S20)</f>
        <v>33.43503284</v>
      </c>
      <c r="Z20" s="165">
        <f>(D20*gasPricePerkWh*N20+G20*oilPriceP*Q20+J20*OffPeakTariff*T20)/100/SUM(N20,Q20,T20)</f>
        <v>66.87006569</v>
      </c>
      <c r="AA20" s="171">
        <f>(B20*L20*carbonGasPerkWh+E20*O20*carbonOilPerkWh + H20*R20*carbonElectricityPerkWh)</f>
        <v>0</v>
      </c>
      <c r="AB20" s="173">
        <f>(C20*M20*carbonGasPerkWh+F20*P20*carbonOilPerkWh + I20*S20*carbonElectricityPerkWh)</f>
        <v>967.4011643</v>
      </c>
      <c r="AC20" s="174">
        <f>(D20*N20*carbonGasPerkWh+G20*Q20*carbonOilPerkWh + J20*T20*carbonElectricityPerkWh)</f>
        <v>2128.282561</v>
      </c>
      <c r="AD20" s="177">
        <f t="shared" ref="AD20:AF20" si="13">(B20*L20+E20*O20+H20*R20)/1000</f>
        <v>0</v>
      </c>
      <c r="AE20" s="178">
        <f t="shared" si="13"/>
        <v>5.070390738</v>
      </c>
      <c r="AF20" s="180">
        <f t="shared" si="13"/>
        <v>11.15485962</v>
      </c>
      <c r="AG20" s="161">
        <f>ROUND(10000*(C20*M20*gasPricePerkWh+F20*P20*oilPricePerkWh+I20*S20*OffPeakTariff),-3)</f>
        <v>427839000</v>
      </c>
      <c r="AH20" s="526" t="s">
        <v>134</v>
      </c>
      <c r="AI20" s="184" t="s">
        <v>168</v>
      </c>
      <c r="AJ20" s="184" t="s">
        <v>86</v>
      </c>
      <c r="AL20" s="373"/>
      <c r="AM20" s="186"/>
      <c r="AN20" s="186"/>
      <c r="AO20" s="187"/>
    </row>
    <row r="21">
      <c r="A21" s="116" t="str">
        <f>'Reduce heating hours'!A65</f>
        <v>Reducing hours of heating by 5 hours/week (set and forget)</v>
      </c>
      <c r="B21" s="389">
        <f>ROUND('Reduce heating hours'!B65,-1)</f>
        <v>100</v>
      </c>
      <c r="C21" s="390">
        <f>ROUND('Reduce heating hours'!C65,-1)</f>
        <v>120</v>
      </c>
      <c r="D21" s="393">
        <f>ROUND('Reduce heating hours'!D65,-1)</f>
        <v>160</v>
      </c>
      <c r="E21" s="389">
        <f>ROUND('Reduce heating hours'!E65,-1)</f>
        <v>220</v>
      </c>
      <c r="F21" s="390">
        <f>ROUND('Reduce heating hours'!F65,-1)</f>
        <v>280</v>
      </c>
      <c r="G21" s="393">
        <f>ROUND('Reduce heating hours'!G65,-1)</f>
        <v>360</v>
      </c>
      <c r="H21" s="389">
        <f>ROUND('Reduce heating hours'!H65,-1)</f>
        <v>20</v>
      </c>
      <c r="I21" s="390">
        <f>ROUND('Reduce heating hours'!I65,-1)</f>
        <v>40</v>
      </c>
      <c r="J21" s="393">
        <f>ROUND('Reduce heating hours'!J65,-1)</f>
        <v>50</v>
      </c>
      <c r="K21" s="396">
        <f>C21/MeanDomesticGasBill</f>
        <v>0.01215045133</v>
      </c>
      <c r="L21" s="130">
        <f>'Reduce heating hours'!K65/1000</f>
        <v>2.56166784</v>
      </c>
      <c r="M21" s="130">
        <f>'Reduce heating hours'!L65/1000</f>
        <v>5.12333568</v>
      </c>
      <c r="N21" s="130">
        <f>'Reduce heating hours'!M65/1000</f>
        <v>7.68500352</v>
      </c>
      <c r="O21" s="529">
        <f>'Reduce heating hours'!N65/1000</f>
        <v>0.1637095</v>
      </c>
      <c r="P21" s="130">
        <f>'Reduce heating hours'!O65/1000</f>
        <v>0.327419</v>
      </c>
      <c r="Q21" s="530">
        <f>'Reduce heating hours'!P65/1000</f>
        <v>0.4911285</v>
      </c>
      <c r="R21" s="529">
        <f>'Reduce heating hours'!Q65/1000</f>
        <v>0.09006589189</v>
      </c>
      <c r="S21" s="130">
        <f>'Reduce heating hours'!R65/1000</f>
        <v>0.1801317838</v>
      </c>
      <c r="T21" s="530">
        <f>'Reduce heating hours'!S65/1000</f>
        <v>0.2701976757</v>
      </c>
      <c r="U21" s="151">
        <f>(L21+O21+R21)/numberDwellingsUK*1000000</f>
        <v>0.09185245995</v>
      </c>
      <c r="V21" s="151">
        <f>(M21+P21+S21)/numberDwellingsUK*1000000</f>
        <v>0.1837049199</v>
      </c>
      <c r="W21" s="156">
        <f>(N21+Q21+T21)/numberDwellingsUK*1000000</f>
        <v>0.2755573798</v>
      </c>
      <c r="X21" s="161">
        <f>(B21*gasPricePerkWh*L21+E21*oilPriceP*O21+H21*OffPeakTariff*R21)/100/SUM(L21,O21,R21)</f>
        <v>8.583552865</v>
      </c>
      <c r="Y21" s="165">
        <f>(C21*gasPricePerkWh*M21+F21*oilPriceP*P21+I21*OffPeakTariff*S21)/100/SUM(M21,P21,S21)</f>
        <v>10.46692836</v>
      </c>
      <c r="Z21" s="168">
        <f>(D21*gasPricePerkWh*N21+G21*oilPriceP*Q21+J21*OffPeakTariff*T21)/100/SUM(N21,Q21,T21)</f>
        <v>13.86500197</v>
      </c>
      <c r="AA21" s="171">
        <f>(B21*L21*carbonGasPerkWh+E21*O21*carbonOilPerkWh + H21*R21*carbonElectricityPerkWh)</f>
        <v>56.92169903</v>
      </c>
      <c r="AB21" s="173">
        <f>(C21*M21*carbonGasPerkWh+F21*P21*carbonOilPerkWh + I21*S21*carbonElectricityPerkWh)</f>
        <v>138.536661</v>
      </c>
      <c r="AC21" s="174">
        <f>(D21*N21*carbonGasPerkWh+G21*Q21*carbonOilPerkWh + J21*T21*carbonElectricityPerkWh)</f>
        <v>275.1458427</v>
      </c>
      <c r="AD21" s="177">
        <f t="shared" ref="AD21:AF21" si="14">(B21*L21+E21*O21+H21*R21)/1000</f>
        <v>0.2939841918</v>
      </c>
      <c r="AE21" s="178">
        <f t="shared" si="14"/>
        <v>0.713682873</v>
      </c>
      <c r="AF21" s="180">
        <f t="shared" si="14"/>
        <v>1.419916707</v>
      </c>
      <c r="AG21" s="161">
        <f>ROUND(10000*(C21*M21*gasPricePerkWh+F21*P21*oilPricePerkWh+I21*S21*OffPeakTariff),-3)</f>
        <v>58938000</v>
      </c>
      <c r="AH21" s="184" t="str">
        <f>'Reduce heating hours'!K59</f>
        <v>-</v>
      </c>
      <c r="AI21" s="184" t="s">
        <v>85</v>
      </c>
      <c r="AJ21" s="184" t="s">
        <v>86</v>
      </c>
      <c r="AL21" s="185"/>
      <c r="AM21" s="186"/>
      <c r="AN21" s="186"/>
      <c r="AO21" s="187"/>
    </row>
    <row r="22">
      <c r="A22" s="473" t="str">
        <f>'Turn off pre-heat'!A40</f>
        <v>Turn off pre-heat facility</v>
      </c>
      <c r="B22" s="113">
        <f>'Turn off pre-heat'!B40</f>
        <v>2.573529412</v>
      </c>
      <c r="C22" s="115">
        <f>'Turn off pre-heat'!C40</f>
        <v>92.64705882</v>
      </c>
      <c r="D22" s="117">
        <f>'Turn off pre-heat'!D40</f>
        <v>466.6666667</v>
      </c>
      <c r="E22" s="113">
        <f>'Turn off pre-heat'!E40</f>
        <v>0</v>
      </c>
      <c r="F22" s="115">
        <f>'Turn off pre-heat'!F40</f>
        <v>0</v>
      </c>
      <c r="G22" s="115">
        <f>'Turn off pre-heat'!G40</f>
        <v>0</v>
      </c>
      <c r="H22" s="113">
        <f>'Turn off pre-heat'!H40</f>
        <v>0</v>
      </c>
      <c r="I22" s="115">
        <f>'Turn off pre-heat'!I40</f>
        <v>0</v>
      </c>
      <c r="J22" s="117">
        <f>'Turn off pre-heat'!J40</f>
        <v>0</v>
      </c>
      <c r="K22" s="127">
        <f>C22/MeanDomesticGasBill</f>
        <v>0.009380863161</v>
      </c>
      <c r="L22" s="130">
        <f>'Turn off pre-heat'!K40/1000</f>
        <v>3.309674849</v>
      </c>
      <c r="M22" s="130">
        <f>'Turn off pre-heat'!L40/1000</f>
        <v>6.967736525</v>
      </c>
      <c r="N22" s="130">
        <f>'Turn off pre-heat'!M40/1000</f>
        <v>10.97418503</v>
      </c>
      <c r="O22" s="529">
        <f>'Turn off pre-heat'!N40/1000</f>
        <v>0</v>
      </c>
      <c r="P22" s="130">
        <f>'Turn off pre-heat'!O40/1000</f>
        <v>0</v>
      </c>
      <c r="Q22" s="530">
        <f>'Turn off pre-heat'!P40/1000</f>
        <v>0</v>
      </c>
      <c r="R22" s="529">
        <f>'Turn off pre-heat'!Q40/1000</f>
        <v>0</v>
      </c>
      <c r="S22" s="130">
        <f>'Turn off pre-heat'!R40/1000</f>
        <v>0</v>
      </c>
      <c r="T22" s="530">
        <f>'Turn off pre-heat'!S40/1000</f>
        <v>0</v>
      </c>
      <c r="U22" s="151">
        <f>(L22+O22+R22)/numberDwellingsUK*1000000</f>
        <v>0.107976525</v>
      </c>
      <c r="V22" s="151">
        <f>(M22+P22+S22)/numberDwellingsUK*1000000</f>
        <v>0.227319</v>
      </c>
      <c r="W22" s="156">
        <f>(N22+Q22+T22)/numberDwellingsUK*1000000</f>
        <v>0.358027425</v>
      </c>
      <c r="X22" s="161">
        <f>(B22*gasPricePerkWh*L22+E22*oilPriceP*O22+H22*OffPeakTariff*R22)/100/SUM(L22,O22,R22)</f>
        <v>0.2051102941</v>
      </c>
      <c r="Y22" s="165">
        <f>(C22*gasPricePerkWh*M22+F22*oilPriceP*P22+I22*OffPeakTariff*S22)/100/SUM(M22,P22,S22)</f>
        <v>7.383970588</v>
      </c>
      <c r="Z22" s="168">
        <f>(D22*gasPricePerkWh*N22+G22*oilPriceP*Q22+J22*OffPeakTariff*T22)/100/SUM(N22,Q22,T22)</f>
        <v>37.19333333</v>
      </c>
      <c r="AA22" s="171">
        <f>(B22*L22*carbonGasPerkWh+E22*O22*carbonOilPerkWh + H22*R22*carbonElectricityPerkWh)</f>
        <v>1.558710839</v>
      </c>
      <c r="AB22" s="173">
        <f>(C22*M22*carbonGasPerkWh+F22*P22*carbonOilPerkWh + I22*S22*carbonElectricityPerkWh)</f>
        <v>118.1338741</v>
      </c>
      <c r="AC22" s="174">
        <f>(D22*N22*carbonGasPerkWh+G22*Q22*carbonOilPerkWh + J22*T22*carbonElectricityPerkWh)</f>
        <v>937.1954013</v>
      </c>
      <c r="AD22" s="177">
        <f t="shared" ref="AD22:AF22" si="15">(B22*L22+E22*O22+H22*R22)/1000</f>
        <v>0.008517545568</v>
      </c>
      <c r="AE22" s="178">
        <f t="shared" si="15"/>
        <v>0.6455402957</v>
      </c>
      <c r="AF22" s="180">
        <f t="shared" si="15"/>
        <v>5.121286346</v>
      </c>
      <c r="AG22" s="161">
        <f>ROUND(10000*(C22*M22*gasPricePerkWh+F22*P22*oilPricePerkWh+I22*S22*OffPeakTariff),-3)</f>
        <v>51450000</v>
      </c>
      <c r="AH22" s="184" t="str">
        <f>'Turn off pre-heat'!T40</f>
        <v>-</v>
      </c>
      <c r="AI22" s="184" t="s">
        <v>85</v>
      </c>
      <c r="AJ22" s="184" t="s">
        <v>356</v>
      </c>
      <c r="AL22" s="185"/>
      <c r="AM22" s="186"/>
      <c r="AN22" s="186"/>
      <c r="AO22" s="187"/>
    </row>
    <row r="23">
      <c r="A23" s="473" t="str">
        <f>'Turn off pre-heat'!A41</f>
        <v>Adjust timer for pre-heat</v>
      </c>
      <c r="B23" s="113">
        <f>'Turn off pre-heat'!B41</f>
        <v>1.801470588</v>
      </c>
      <c r="C23" s="115">
        <f>'Turn off pre-heat'!C41</f>
        <v>46.32352941</v>
      </c>
      <c r="D23" s="117">
        <f>'Turn off pre-heat'!D41</f>
        <v>140</v>
      </c>
      <c r="E23" s="113">
        <f>'Turn off pre-heat'!E41</f>
        <v>0</v>
      </c>
      <c r="F23" s="115">
        <f>'Turn off pre-heat'!F41</f>
        <v>0</v>
      </c>
      <c r="G23" s="117">
        <f>'Turn off pre-heat'!G41</f>
        <v>0</v>
      </c>
      <c r="H23" s="113">
        <f>'Turn off pre-heat'!H41</f>
        <v>0</v>
      </c>
      <c r="I23" s="115">
        <f>'Turn off pre-heat'!I41</f>
        <v>0</v>
      </c>
      <c r="J23" s="117">
        <f>'Turn off pre-heat'!J41</f>
        <v>0</v>
      </c>
      <c r="K23" s="127">
        <f>C23/MeanDomesticGasBill</f>
        <v>0.00469043158</v>
      </c>
      <c r="L23" s="130">
        <f>'Turn off pre-heat'!K41/1000</f>
        <v>0.1654837425</v>
      </c>
      <c r="M23" s="130">
        <f>'Turn off pre-heat'!L41/1000</f>
        <v>0.6967736525</v>
      </c>
      <c r="N23" s="130">
        <f>'Turn off pre-heat'!M41/1000</f>
        <v>2.194837005</v>
      </c>
      <c r="O23" s="529">
        <f>'Turn off pre-heat'!N41/1000</f>
        <v>0</v>
      </c>
      <c r="P23" s="130">
        <f>'Turn off pre-heat'!O41/1000</f>
        <v>0</v>
      </c>
      <c r="Q23" s="530">
        <f>'Turn off pre-heat'!P41/1000</f>
        <v>0</v>
      </c>
      <c r="R23" s="529">
        <f>'Turn off pre-heat'!Q41/1000</f>
        <v>0</v>
      </c>
      <c r="S23" s="130">
        <f>'Turn off pre-heat'!R41/1000</f>
        <v>0</v>
      </c>
      <c r="T23" s="530">
        <f>'Turn off pre-heat'!S41/1000</f>
        <v>0</v>
      </c>
      <c r="U23" s="151">
        <f>(L23+O23+R23)/numberDwellingsUK*1000000</f>
        <v>0.00539882625</v>
      </c>
      <c r="V23" s="151">
        <f>(M23+P23+S23)/numberDwellingsUK*1000000</f>
        <v>0.0227319</v>
      </c>
      <c r="W23" s="156">
        <f>(N23+Q23+T23)/numberDwellingsUK*1000000</f>
        <v>0.07160548501</v>
      </c>
      <c r="X23" s="161">
        <f>(B23*gasPricePerkWh*L23+E23*oilPriceP*O23+H23*OffPeakTariff*R23)/100/SUM(L23,O23,R23)</f>
        <v>0.1435772059</v>
      </c>
      <c r="Y23" s="165">
        <f>(C23*gasPricePerkWh*M23+F23*oilPriceP*P23+I23*OffPeakTariff*S23)/100/SUM(M23,P23,S23)</f>
        <v>3.691985294</v>
      </c>
      <c r="Z23" s="168">
        <f>(D23*gasPricePerkWh*N23+G23*oilPriceP*Q23+J23*OffPeakTariff*T23)/100/SUM(N23,Q23,T23)</f>
        <v>11.158</v>
      </c>
      <c r="AA23" s="171">
        <f>(B23*L23*carbonGasPerkWh+E23*O23*carbonOilPerkWh + H23*R23*carbonElectricityPerkWh)</f>
        <v>0.05455487936</v>
      </c>
      <c r="AB23" s="173">
        <f>(C23*M23*carbonGasPerkWh+F23*P23*carbonOilPerkWh + I23*S23*carbonElectricityPerkWh)</f>
        <v>5.906693705</v>
      </c>
      <c r="AC23" s="174">
        <f>(D23*N23*carbonGasPerkWh+G23*Q23*carbonOilPerkWh + J23*T23*carbonElectricityPerkWh)</f>
        <v>56.23172408</v>
      </c>
      <c r="AD23" s="177">
        <f t="shared" ref="AD23:AF23" si="16">(B23*L23+E23*O23+H23*R23)/1000</f>
        <v>0.0002981140949</v>
      </c>
      <c r="AE23" s="178">
        <f t="shared" si="16"/>
        <v>0.03227701478</v>
      </c>
      <c r="AF23" s="180">
        <f t="shared" si="16"/>
        <v>0.3072771807</v>
      </c>
      <c r="AG23" s="161">
        <f>ROUND(10000*(C23*M23*gasPricePerkWh+F23*P23*oilPricePerkWh+I23*S23*OffPeakTariff),-3)</f>
        <v>2572000</v>
      </c>
      <c r="AH23" s="184" t="str">
        <f>'Turn off pre-heat'!T41</f>
        <v>-</v>
      </c>
      <c r="AI23" s="184" t="s">
        <v>85</v>
      </c>
      <c r="AJ23" s="184" t="s">
        <v>356</v>
      </c>
      <c r="AL23" s="185"/>
      <c r="AM23" s="186"/>
      <c r="AN23" s="186"/>
      <c r="AO23" s="187" t="str">
        <f>'Turn off pre-heat'!T40</f>
        <v>-</v>
      </c>
    </row>
    <row r="24">
      <c r="A24" s="116" t="str">
        <f>'Reducing DHW temp. (cylinder)'!A49</f>
        <v>Reducing the cylinder temperature to 60°C</v>
      </c>
      <c r="B24" s="113">
        <f>ROUND('Reducing DHW temp. (cylinder)'!B49,-1)</f>
        <v>80</v>
      </c>
      <c r="C24" s="115">
        <f>ROUND('Reducing DHW temp. (cylinder)'!C49,-1)</f>
        <v>230</v>
      </c>
      <c r="D24" s="117">
        <f>ROUND('Reducing DHW temp. (cylinder)'!D49,-1)</f>
        <v>390</v>
      </c>
      <c r="E24" s="113">
        <f>ROUND('Reducing DHW temp. (cylinder)'!E49,-1)</f>
        <v>230</v>
      </c>
      <c r="F24" s="115">
        <f>ROUND('Reducing DHW temp. (cylinder)'!F49,-1)</f>
        <v>430</v>
      </c>
      <c r="G24" s="117">
        <f>ROUND('Reducing DHW temp. (cylinder)'!G49,-1)</f>
        <v>590</v>
      </c>
      <c r="H24" s="113">
        <f>ROUND('Reducing DHW temp. (cylinder)'!H49,-1)</f>
        <v>0</v>
      </c>
      <c r="I24" s="115">
        <f>ROUND('Reducing DHW temp. (cylinder)'!I49,-1)</f>
        <v>0</v>
      </c>
      <c r="J24" s="117">
        <f>ROUND('Reducing DHW temp. (cylinder)'!J49,-1)</f>
        <v>0</v>
      </c>
      <c r="K24" s="127">
        <f>C24/MeanDomesticGasBill</f>
        <v>0.02328836505</v>
      </c>
      <c r="L24" s="130">
        <f>'Reducing DHW temp. (cylinder)'!K49/1000</f>
        <v>3.893735117</v>
      </c>
      <c r="M24" s="130">
        <f>'Reducing DHW temp. (cylinder)'!L49/1000</f>
        <v>6.55786967</v>
      </c>
      <c r="N24" s="130">
        <f>'Reducing DHW temp. (cylinder)'!M49/1000</f>
        <v>8.566217257</v>
      </c>
      <c r="O24" s="529">
        <f>'Reducing DHW temp. (cylinder)'!N49/1000</f>
        <v>0.6065436975</v>
      </c>
      <c r="P24" s="130">
        <f>'Reducing DHW temp. (cylinder)'!O49/1000</f>
        <v>1.02154728</v>
      </c>
      <c r="Q24" s="530">
        <f>'Reducing DHW temp. (cylinder)'!P49/1000</f>
        <v>1.334396135</v>
      </c>
      <c r="R24" s="529">
        <f>'Reducing DHW temp. (cylinder)'!Q49/1000</f>
        <v>0</v>
      </c>
      <c r="S24" s="130">
        <f>'Reducing DHW temp. (cylinder)'!R49/1000</f>
        <v>0</v>
      </c>
      <c r="T24" s="530">
        <f>'Reducing DHW temp. (cylinder)'!S49/1000</f>
        <v>0</v>
      </c>
      <c r="U24" s="151">
        <f>(L24+O24+R24)/numberDwellingsUK*1000000</f>
        <v>0.1468193977</v>
      </c>
      <c r="V24" s="151">
        <f>(M24+P24+S24)/numberDwellingsUK*1000000</f>
        <v>0.2472747751</v>
      </c>
      <c r="W24" s="156">
        <f>(N24+Q24+T24)/numberDwellingsUK*1000000</f>
        <v>0.3230026749</v>
      </c>
      <c r="X24" s="161">
        <f>(B24*gasPricePerkWh*L24+E24*oilPriceP*O24+H24*OffPeakTariff*R24)/100/SUM(L24,O24,R24)</f>
        <v>8.511740165</v>
      </c>
      <c r="Y24" s="165">
        <f>(C24*gasPricePerkWh*M24+F24*oilPriceP*P24+I24*OffPeakTariff*S24)/100/SUM(M24,P24,S24)</f>
        <v>21.45988335</v>
      </c>
      <c r="Z24" s="168">
        <f>(D24*gasPricePerkWh*N24+G24*oilPriceP*Q24+J24*OffPeakTariff*T24)/100/SUM(N24,Q24,T24)</f>
        <v>34.57672202</v>
      </c>
      <c r="AA24" s="171">
        <f>(B24*L24*carbonGasPerkWh+E24*O24*carbonOilPerkWh + H24*R24*carbonElectricityPerkWh)</f>
        <v>94.67064572</v>
      </c>
      <c r="AB24" s="173">
        <f>(C24*M24*carbonGasPerkWh+F24*P24*carbonOilPerkWh + I24*S24*carbonElectricityPerkWh)</f>
        <v>394.6223736</v>
      </c>
      <c r="AC24" s="174">
        <f>(D24*N24*carbonGasPerkWh+G24*Q24*carbonOilPerkWh + J24*T24*carbonElectricityPerkWh)</f>
        <v>823.9402299</v>
      </c>
      <c r="AD24" s="177">
        <f t="shared" ref="AD24:AF24" si="17">(B24*L24+E24*O24+H24*R24)/1000</f>
        <v>0.4510038598</v>
      </c>
      <c r="AE24" s="178">
        <f t="shared" si="17"/>
        <v>1.947575355</v>
      </c>
      <c r="AF24" s="180">
        <f t="shared" si="17"/>
        <v>4.12811845</v>
      </c>
      <c r="AG24" s="161">
        <f>ROUND(10000*(C24*M24*gasPricePerkWh+F24*P24*oilPricePerkWh+I24*S24*OffPeakTariff),-3)</f>
        <v>162653000</v>
      </c>
      <c r="AH24" s="571" t="str">
        <f>'Reducing DHW temp. (cylinder)'!T49</f>
        <v>-</v>
      </c>
      <c r="AI24" s="530" t="s">
        <v>85</v>
      </c>
      <c r="AJ24" s="184" t="s">
        <v>356</v>
      </c>
      <c r="AL24" s="185"/>
      <c r="AM24" s="186"/>
      <c r="AN24" s="186"/>
      <c r="AO24" s="187"/>
    </row>
    <row r="25">
      <c r="A25" s="116" t="str">
        <f>'Reducing DHW temp. (combi)'!A40</f>
        <v>Reduce DHW temperature to 45°C (low savings), 42°C, or 40°C (high savings)</v>
      </c>
      <c r="B25" s="403">
        <f>ROUND('Reducing DHW temp. (combi)'!B40,-1)</f>
        <v>100</v>
      </c>
      <c r="C25" s="405">
        <f>ROUND('Reducing DHW temp. (combi)'!C40,-1)</f>
        <v>250</v>
      </c>
      <c r="D25" s="572">
        <f>ROUND('Reducing DHW temp. (combi)'!D40,-1)</f>
        <v>460</v>
      </c>
      <c r="E25" s="403">
        <f>ROUND('Reducing DHW temp. (combi)'!E40,-1)</f>
        <v>110</v>
      </c>
      <c r="F25" s="405">
        <f>ROUND('Reducing DHW temp. (combi)'!F40,-1)</f>
        <v>250</v>
      </c>
      <c r="G25" s="572">
        <f>ROUND('Reducing DHW temp. (combi)'!G40,-1)</f>
        <v>450</v>
      </c>
      <c r="H25" s="403">
        <f>ROUND('Reducing DHW temp. (combi)'!H40,-1)</f>
        <v>0</v>
      </c>
      <c r="I25" s="405">
        <f>ROUND('Reducing DHW temp. (combi)'!I40,-1)</f>
        <v>0</v>
      </c>
      <c r="J25" s="572">
        <f>ROUND('Reducing DHW temp. (combi)'!J40,-1)</f>
        <v>0</v>
      </c>
      <c r="K25" s="127">
        <f>C25/MeanDomesticGasBill</f>
        <v>0.02531344027</v>
      </c>
      <c r="L25" s="130">
        <f>'Reducing DHW temp. (combi)'!K40/1000</f>
        <v>16.54837425</v>
      </c>
      <c r="M25" s="130">
        <f>'Reducing DHW temp. (combi)'!L40/1000</f>
        <v>17.41934131</v>
      </c>
      <c r="N25" s="130">
        <f>'Reducing DHW temp. (combi)'!M40/1000</f>
        <v>18.29030838</v>
      </c>
      <c r="O25" s="529">
        <f>'Reducing DHW temp. (combi)'!N40/1000</f>
        <v>0.342152855</v>
      </c>
      <c r="P25" s="130">
        <f>'Reducing DHW temp. (combi)'!O40/1000</f>
        <v>0.3601609</v>
      </c>
      <c r="Q25" s="530">
        <f>'Reducing DHW temp. (combi)'!P40/1000</f>
        <v>0.378168945</v>
      </c>
      <c r="R25" s="529">
        <f>'Reducing DHW temp. (combi)'!Q40/1000</f>
        <v>0</v>
      </c>
      <c r="S25" s="130">
        <f>'Reducing DHW temp. (combi)'!R40/1000</f>
        <v>0</v>
      </c>
      <c r="T25" s="530">
        <f>'Reducing DHW temp. (combi)'!S40/1000</f>
        <v>0</v>
      </c>
      <c r="U25" s="412">
        <f>(L25+O25+R25)/numberDwellingsUK*1000000</f>
        <v>0.5510451948</v>
      </c>
      <c r="V25" s="151">
        <f>(M25+P25+S25)/numberDwellingsUK*1000000</f>
        <v>0.5800475735</v>
      </c>
      <c r="W25" s="151">
        <f>(N25+Q25+T25)/numberDwellingsUK*1000000</f>
        <v>0.6090499521</v>
      </c>
      <c r="X25" s="161">
        <f>(B25*gasPricePerkWh*L25+E25*oilPriceP*O25+H25*OffPeakTariff*R25)/100/SUM(L25,O25,R25)</f>
        <v>8.023843725</v>
      </c>
      <c r="Y25" s="165">
        <f>(C25*gasPricePerkWh*M25+F25*oilPriceP*P25+I25*OffPeakTariff*S25)/100/SUM(M25,P25,S25)</f>
        <v>20.01067915</v>
      </c>
      <c r="Z25" s="165">
        <f>(D25*gasPricePerkWh*N25+G25*oilPriceP*Q25+J25*OffPeakTariff*T25)/100/SUM(N25,Q25,T25)</f>
        <v>36.80007758</v>
      </c>
      <c r="AA25" s="171">
        <f>(B25*L25*carbonGasPerkWh+E25*O25*carbonOilPerkWh + H25*R25*carbonElectricityPerkWh)</f>
        <v>312.9971885</v>
      </c>
      <c r="AB25" s="173">
        <f>(C25*M25*carbonGasPerkWh+F25*P25*carbonOilPerkWh + I25*S25*carbonElectricityPerkWh)</f>
        <v>821.2457258</v>
      </c>
      <c r="AC25" s="173">
        <f>(D25*N25*carbonGasPerkWh+G25*Q25*carbonOilPerkWh + J25*T25*carbonElectricityPerkWh)</f>
        <v>1585.625686</v>
      </c>
      <c r="AD25" s="177">
        <f t="shared" ref="AD25:AF25" si="18">(B25*L25+E25*O25+H25*R25)/1000</f>
        <v>1.692474239</v>
      </c>
      <c r="AE25" s="178">
        <f t="shared" si="18"/>
        <v>4.444875553</v>
      </c>
      <c r="AF25" s="180">
        <f t="shared" si="18"/>
        <v>8.583717879</v>
      </c>
      <c r="AG25" s="161">
        <f>ROUND(10000*(C25*M25*gasPricePerkWh+F25*P25*oilPricePerkWh+I25*S25*OffPeakTariff),-3)</f>
        <v>355780000</v>
      </c>
      <c r="AH25" s="585" t="str">
        <f>'Reducing DHW temp. (combi)'!T40</f>
        <v>-</v>
      </c>
      <c r="AI25" s="526" t="s">
        <v>168</v>
      </c>
      <c r="AJ25" s="184" t="s">
        <v>356</v>
      </c>
      <c r="AL25" s="185"/>
      <c r="AM25" s="186"/>
      <c r="AN25" s="186"/>
      <c r="AO25" s="187"/>
    </row>
    <row r="26" ht="33.75" customHeight="1">
      <c r="A26" s="586" t="s">
        <v>383</v>
      </c>
      <c r="B26" s="587" t="s">
        <v>384</v>
      </c>
      <c r="K26" s="588"/>
      <c r="L26" s="589"/>
      <c r="M26" s="589"/>
      <c r="N26" s="590"/>
      <c r="O26" s="591"/>
      <c r="P26" s="592"/>
      <c r="Q26" s="593"/>
      <c r="R26" s="591"/>
      <c r="S26" s="592"/>
      <c r="T26" s="592"/>
      <c r="U26" s="594" t="s">
        <v>384</v>
      </c>
      <c r="V26" s="595"/>
      <c r="W26" s="595"/>
      <c r="X26" s="595"/>
      <c r="Y26" s="595"/>
      <c r="Z26" s="595"/>
      <c r="AA26" s="595"/>
      <c r="AB26" s="595"/>
      <c r="AC26" s="595"/>
      <c r="AD26" s="595"/>
      <c r="AE26" s="595"/>
      <c r="AF26" s="595"/>
      <c r="AG26" s="595"/>
      <c r="AH26" s="595"/>
      <c r="AI26" s="596" t="s">
        <v>85</v>
      </c>
      <c r="AJ26" s="596" t="s">
        <v>262</v>
      </c>
      <c r="AL26" s="185"/>
      <c r="AM26" s="186"/>
      <c r="AN26" s="186"/>
      <c r="AO26" s="187"/>
    </row>
    <row r="27">
      <c r="A27" s="597" t="s">
        <v>65</v>
      </c>
      <c r="B27" s="598">
        <f>ROUND('Closing curtains'!B37,-1)</f>
        <v>30</v>
      </c>
      <c r="C27" s="599">
        <f>ROUND('Closing curtains'!C37,-1)</f>
        <v>90</v>
      </c>
      <c r="D27" s="600">
        <f>ROUND('Closing curtains'!D37,-1)</f>
        <v>180</v>
      </c>
      <c r="E27" s="598">
        <f>ROUND('Closing curtains'!E37,-1)</f>
        <v>50</v>
      </c>
      <c r="F27" s="599">
        <f>ROUND('Closing curtains'!F37,-1)</f>
        <v>160</v>
      </c>
      <c r="G27" s="600">
        <f>ROUND('Closing curtains'!G37,-1)</f>
        <v>300</v>
      </c>
      <c r="H27" s="598">
        <f>ROUND('Closing curtains'!H37,-1)</f>
        <v>20</v>
      </c>
      <c r="I27" s="599">
        <f>ROUND('Closing curtains'!I37,-1)</f>
        <v>60</v>
      </c>
      <c r="J27" s="600">
        <f>ROUND('Closing curtains'!J37,-1)</f>
        <v>100</v>
      </c>
      <c r="K27" s="127">
        <f>C27/MeanDomesticGasBill</f>
        <v>0.009112838499</v>
      </c>
      <c r="L27" s="602">
        <f>'Closing curtains'!K37/1000</f>
        <v>10.24667136</v>
      </c>
      <c r="M27" s="603">
        <f>'Closing curtains'!L37/1000</f>
        <v>12.8083392</v>
      </c>
      <c r="N27" s="605">
        <f>'Closing curtains'!M37/1000</f>
        <v>15.37000704</v>
      </c>
      <c r="O27" s="602">
        <f>'Closing curtains'!N37/1000</f>
        <v>0.654838</v>
      </c>
      <c r="P27" s="603">
        <f>'Closing curtains'!O37/1000</f>
        <v>0.8185475</v>
      </c>
      <c r="Q27" s="605">
        <f>'Closing curtains'!P37/1000</f>
        <v>0.982257</v>
      </c>
      <c r="R27" s="602">
        <f>'Closing curtains'!Q37/1000</f>
        <v>0.9347864</v>
      </c>
      <c r="S27" s="603">
        <f>'Closing curtains'!R37/1000</f>
        <v>1.168483</v>
      </c>
      <c r="T27" s="605">
        <f>'Closing curtains'!S37/1000</f>
        <v>1.4021796</v>
      </c>
      <c r="U27" s="412">
        <f>(L27+O27+R27)/numberDwellingsUK*1000000</f>
        <v>0.3861533665</v>
      </c>
      <c r="V27" s="151">
        <f>(M27+P27+S27)/numberDwellingsUK*1000000</f>
        <v>0.4826917082</v>
      </c>
      <c r="W27" s="156">
        <f>(N27+Q27+T27)/numberDwellingsUK*1000000</f>
        <v>0.5792300498</v>
      </c>
      <c r="X27" s="161">
        <f>(B27*gasPricePerkWh*L27+E27*oilPriceP*O27+H27*OffPeakTariff*R27)/100/SUM(L27,O27,R27)</f>
        <v>2.574083957</v>
      </c>
      <c r="Y27" s="165">
        <f>(C27*gasPricePerkWh*M27+F27*oilPriceP*P27+I27*OffPeakTariff*S27)/100/SUM(M27,P27,S27)</f>
        <v>7.775705563</v>
      </c>
      <c r="Z27" s="168">
        <f>(D27*gasPricePerkWh*N27+G27*oilPriceP*Q27+J27*OffPeakTariff*T27)/100/SUM(N27,Q27,T27)</f>
        <v>15.20757495</v>
      </c>
      <c r="AA27" s="171">
        <f>(B27*L27*carbonGasPerkWh+E27*O27*carbonOilPerkWh + H27*R27*carbonElectricityPerkWh)</f>
        <v>68.40368262</v>
      </c>
      <c r="AB27" s="173">
        <f>(C27*M27*carbonGasPerkWh+F27*P27*carbonOilPerkWh + I27*S27*carbonElectricityPerkWh)</f>
        <v>258.7238881</v>
      </c>
      <c r="AC27" s="173">
        <f>(D27*N27*carbonGasPerkWh+G27*Q27*carbonOilPerkWh + J27*T27*carbonElectricityPerkWh)</f>
        <v>610.6694278</v>
      </c>
      <c r="AD27" s="622">
        <f t="shared" ref="AD27:AF27" si="19">(B27*L27+E27*O27+H27*R27)/1000</f>
        <v>0.3588377688</v>
      </c>
      <c r="AE27" s="624">
        <f t="shared" si="19"/>
        <v>1.353827108</v>
      </c>
      <c r="AF27" s="625">
        <f t="shared" si="19"/>
        <v>3.201496327</v>
      </c>
      <c r="AG27" s="161">
        <f>ROUND(10000*(C27*M27*gasPricePerkWh+F27*P27*oilPricePerkWh+I27*S27*OffPeakTariff),-3)</f>
        <v>115044000</v>
      </c>
      <c r="AH27" s="184" t="str">
        <f>'Closing curtains'!T37</f>
        <v>-</v>
      </c>
      <c r="AI27" s="184" t="s">
        <v>85</v>
      </c>
      <c r="AJ27" s="184" t="s">
        <v>356</v>
      </c>
      <c r="AL27" s="185"/>
      <c r="AM27" s="186"/>
      <c r="AN27" s="186"/>
      <c r="AO27" s="187"/>
    </row>
    <row r="28">
      <c r="A28" s="629" t="str">
        <f>'Window treatments'!A43</f>
        <v>Add window film to all windows</v>
      </c>
      <c r="B28" s="113">
        <f>ROUND('Window treatments'!B43,-1)</f>
        <v>250</v>
      </c>
      <c r="C28" s="115">
        <f>ROUND('Window treatments'!C43,-1)</f>
        <v>380</v>
      </c>
      <c r="D28" s="117">
        <f>ROUND('Window treatments'!D43,-1)</f>
        <v>500</v>
      </c>
      <c r="E28" s="113">
        <f>ROUND('Window treatments'!E43,-1)</f>
        <v>440</v>
      </c>
      <c r="F28" s="115">
        <f>ROUND('Window treatments'!F43,-1)</f>
        <v>650</v>
      </c>
      <c r="G28" s="117">
        <f>ROUND('Window treatments'!G43,-1)</f>
        <v>860</v>
      </c>
      <c r="H28" s="113">
        <f>ROUND('Window treatments'!H43,-1)</f>
        <v>160</v>
      </c>
      <c r="I28" s="115">
        <f>ROUND('Window treatments'!I43,-1)</f>
        <v>220</v>
      </c>
      <c r="J28" s="117">
        <f>ROUND('Window treatments'!J43,-1)</f>
        <v>300</v>
      </c>
      <c r="K28" s="127">
        <f>C28/MeanDomesticGasBill</f>
        <v>0.03847642922</v>
      </c>
      <c r="L28" s="602">
        <f>'Window treatments'!K43/1000</f>
        <v>20.49334272</v>
      </c>
      <c r="M28" s="603">
        <f>'Window treatments'!L43/1000</f>
        <v>23.05501056</v>
      </c>
      <c r="N28" s="605">
        <f>'Window treatments'!M43/1000</f>
        <v>24.0796777</v>
      </c>
      <c r="O28" s="602">
        <f>'Window treatments'!N43/1000</f>
        <v>1.309676</v>
      </c>
      <c r="P28" s="603">
        <f>'Window treatments'!O43/1000</f>
        <v>1.4733855</v>
      </c>
      <c r="Q28" s="605">
        <f>'Window treatments'!P43/1000</f>
        <v>1.5388693</v>
      </c>
      <c r="R28" s="602">
        <f>'Window treatments'!Q43/1000</f>
        <v>1.8695728</v>
      </c>
      <c r="S28" s="603">
        <f>'Window treatments'!R43/1000</f>
        <v>2.1032694</v>
      </c>
      <c r="T28" s="605">
        <f>'Window treatments'!S43/1000</f>
        <v>2.19674804</v>
      </c>
      <c r="U28" s="412">
        <f>(L28+O28+R28)/numberDwellingsUK*1000000</f>
        <v>0.772306733</v>
      </c>
      <c r="V28" s="151">
        <f>(M28+P28+S28)/numberDwellingsUK*1000000</f>
        <v>0.8688450747</v>
      </c>
      <c r="W28" s="156">
        <f>(N28+Q28+T28)/numberDwellingsUK*1000000</f>
        <v>0.9074604113</v>
      </c>
      <c r="X28" s="161">
        <f>(B28*gasPricePerkWh*L28+E28*oilPriceP*O28+H28*OffPeakTariff*R28)/100/SUM(L28,O28,R28)</f>
        <v>21.49644866</v>
      </c>
      <c r="Y28" s="165">
        <f>(C28*gasPricePerkWh*M28+F28*oilPriceP*P28+I28*OffPeakTariff*S28)/100/SUM(M28,P28,S28)</f>
        <v>32.29927163</v>
      </c>
      <c r="Z28" s="168">
        <f>(D28*gasPricePerkWh*N28+G28*oilPriceP*Q28+J28*OffPeakTariff*T28)/100/SUM(N28,Q28,T28)</f>
        <v>42.64906115</v>
      </c>
      <c r="AA28" s="171">
        <f>(B28*L28*carbonGasPerkWh+E28*O28*carbonOilPerkWh + H28*R28*carbonElectricityPerkWh)</f>
        <v>1146.10624</v>
      </c>
      <c r="AB28" s="173">
        <f>(C28*M28*carbonGasPerkWh+F28*P28*carbonOilPerkWh + I28*S28*carbonElectricityPerkWh)</f>
        <v>1943.7259</v>
      </c>
      <c r="AC28" s="173">
        <f>(D28*N28*carbonGasPerkWh+G28*Q28*carbonOilPerkWh + J28*T28*carbonElectricityPerkWh)</f>
        <v>2677.263282</v>
      </c>
      <c r="AD28" s="177">
        <f t="shared" ref="AD28:AF28" si="20">(B28*L28+E28*O28+H28*R28)/1000</f>
        <v>5.998724768</v>
      </c>
      <c r="AE28" s="178">
        <f t="shared" si="20"/>
        <v>10.18132386</v>
      </c>
      <c r="AF28" s="180">
        <f t="shared" si="20"/>
        <v>14.02229086</v>
      </c>
      <c r="AG28" s="161">
        <f>ROUND(10000*(C28*M28*gasPricePerkWh+F28*P28*oilPricePerkWh+I28*S28*OffPeakTariff),-3)</f>
        <v>860183000</v>
      </c>
      <c r="AH28" s="633" t="str">
        <f>'Window treatments'!T43</f>
        <v>low</v>
      </c>
      <c r="AI28" s="633" t="s">
        <v>85</v>
      </c>
      <c r="AJ28" s="184" t="s">
        <v>356</v>
      </c>
      <c r="AL28" s="185"/>
      <c r="AM28" s="186"/>
      <c r="AN28" s="186"/>
    </row>
    <row r="29">
      <c r="A29" s="629" t="str">
        <f>'Window treatments'!A44</f>
        <v>Add window film to all single glazed windows</v>
      </c>
      <c r="B29" s="113">
        <f>ROUND('Window treatments'!B44,-1)</f>
        <v>40</v>
      </c>
      <c r="C29" s="115">
        <f>ROUND('Window treatments'!C44,-1)</f>
        <v>60</v>
      </c>
      <c r="D29" s="117">
        <f>ROUND('Window treatments'!D44,-1)</f>
        <v>80</v>
      </c>
      <c r="E29" s="113">
        <f>ROUND('Window treatments'!E44,-1)</f>
        <v>140</v>
      </c>
      <c r="F29" s="115">
        <f>ROUND('Window treatments'!F44,-1)</f>
        <v>210</v>
      </c>
      <c r="G29" s="117">
        <f>ROUND('Window treatments'!G44,-1)</f>
        <v>280</v>
      </c>
      <c r="H29" s="113">
        <f>ROUND('Window treatments'!H44,-1)</f>
        <v>30</v>
      </c>
      <c r="I29" s="115">
        <f>ROUND('Window treatments'!I44,-1)</f>
        <v>50</v>
      </c>
      <c r="J29" s="117">
        <f>ROUND('Window treatments'!J44,-1)</f>
        <v>70</v>
      </c>
      <c r="K29" s="127">
        <f>C29/MeanDomesticGasBill</f>
        <v>0.006075225666</v>
      </c>
      <c r="L29" s="602">
        <f>'Window treatments'!K44/1000</f>
        <v>20.49334272</v>
      </c>
      <c r="M29" s="603">
        <f>'Window treatments'!L44/1000</f>
        <v>23.05501056</v>
      </c>
      <c r="N29" s="605">
        <f>'Window treatments'!M44/1000</f>
        <v>24.0796777</v>
      </c>
      <c r="O29" s="602">
        <f>'Window treatments'!N44/1000</f>
        <v>1.309676</v>
      </c>
      <c r="P29" s="603">
        <f>'Window treatments'!O44/1000</f>
        <v>1.4733855</v>
      </c>
      <c r="Q29" s="605">
        <f>'Window treatments'!P44/1000</f>
        <v>1.5388693</v>
      </c>
      <c r="R29" s="602">
        <f>'Window treatments'!Q44/1000</f>
        <v>1.8695728</v>
      </c>
      <c r="S29" s="603">
        <f>'Window treatments'!R44/1000</f>
        <v>2.1032694</v>
      </c>
      <c r="T29" s="605">
        <f>'Window treatments'!S44/1000</f>
        <v>2.19674804</v>
      </c>
      <c r="U29" s="412">
        <f>(L29+O29+R29)/numberDwellingsUK*1000000</f>
        <v>0.772306733</v>
      </c>
      <c r="V29" s="151">
        <f>(M29+P29+S29)/numberDwellingsUK*1000000</f>
        <v>0.8688450747</v>
      </c>
      <c r="W29" s="156">
        <f>(N29+Q29+T29)/numberDwellingsUK*1000000</f>
        <v>0.9074604113</v>
      </c>
      <c r="X29" s="161">
        <f>(B29*gasPricePerkWh*L29+E29*oilPriceP*O29+H29*OffPeakTariff*R29)/100/SUM(L29,O29,R29)</f>
        <v>3.863593822</v>
      </c>
      <c r="Y29" s="165">
        <f>(C29*gasPricePerkWh*M29+F29*oilPriceP*P29+I29*OffPeakTariff*S29)/100/SUM(M29,P29,S29)</f>
        <v>5.85462293</v>
      </c>
      <c r="Z29" s="168">
        <f>(D29*gasPricePerkWh*N29+G29*oilPriceP*Q29+J29*OffPeakTariff*T29)/100/SUM(N29,Q29,T29)</f>
        <v>7.845652038</v>
      </c>
      <c r="AA29" s="171">
        <f>(B29*L29*carbonGasPerkWh+E29*O29*carbonOilPerkWh + H29*R29*carbonElectricityPerkWh)</f>
        <v>209.4444531</v>
      </c>
      <c r="AB29" s="173">
        <f>(C29*M29*carbonGasPerkWh+F29*P29*carbonOilPerkWh + I29*S29*carbonElectricityPerkWh)</f>
        <v>355.298908</v>
      </c>
      <c r="AC29" s="173">
        <f>(D29*N29*carbonGasPerkWh+G29*Q29*carbonOilPerkWh + J29*T29*carbonElectricityPerkWh)</f>
        <v>496.0827088</v>
      </c>
      <c r="AD29" s="177">
        <f t="shared" ref="AD29:AF29" si="21">(B29*L29+E29*O29+H29*R29)/1000</f>
        <v>1.059175533</v>
      </c>
      <c r="AE29" s="178">
        <f t="shared" si="21"/>
        <v>1.797875059</v>
      </c>
      <c r="AF29" s="180">
        <f t="shared" si="21"/>
        <v>2.511029982</v>
      </c>
      <c r="AG29" s="161">
        <f>ROUND(10000*(C29*M29*gasPricePerkWh+F29*P29*oilPricePerkWh+I29*S29*OffPeakTariff),-3)</f>
        <v>155918000</v>
      </c>
      <c r="AH29" s="633" t="str">
        <f>'Window treatments'!T44</f>
        <v>low</v>
      </c>
      <c r="AI29" s="633" t="s">
        <v>85</v>
      </c>
      <c r="AJ29" s="184" t="s">
        <v>356</v>
      </c>
      <c r="AL29" s="185"/>
      <c r="AM29" s="186"/>
      <c r="AN29" s="186"/>
    </row>
    <row r="30">
      <c r="A30" s="667" t="s">
        <v>433</v>
      </c>
      <c r="B30" s="152"/>
      <c r="C30" s="27"/>
      <c r="D30" s="170"/>
      <c r="E30" s="152"/>
      <c r="F30" s="27"/>
      <c r="G30" s="170"/>
      <c r="H30" s="152"/>
      <c r="I30" s="27"/>
      <c r="J30" s="170"/>
      <c r="K30" s="669"/>
      <c r="L30" s="152"/>
      <c r="M30" s="27"/>
      <c r="N30" s="170"/>
      <c r="O30" s="152"/>
      <c r="P30" s="27"/>
      <c r="Q30" s="170"/>
      <c r="R30" s="152"/>
      <c r="S30" s="27"/>
      <c r="T30" s="170"/>
      <c r="U30" s="210"/>
      <c r="W30" s="163"/>
      <c r="X30" s="210"/>
      <c r="Z30" s="163"/>
      <c r="AA30" s="210"/>
      <c r="AD30" s="210"/>
      <c r="AF30" s="163"/>
      <c r="AG30" s="450"/>
      <c r="AH30" s="670"/>
      <c r="AI30" s="670"/>
      <c r="AJ30" s="461"/>
      <c r="AL30" s="158"/>
    </row>
    <row r="31">
      <c r="A31" s="73" t="s">
        <v>437</v>
      </c>
      <c r="B31" s="113">
        <f>ROUND('Loft insulation'!B51,-1)</f>
        <v>4520</v>
      </c>
      <c r="C31" s="115">
        <f>ROUND('Loft insulation'!C51,-1)</f>
        <v>5180</v>
      </c>
      <c r="D31" s="117">
        <f>ROUND('Loft insulation'!D51,-1)</f>
        <v>5760</v>
      </c>
      <c r="E31" s="113">
        <f>ROUND('Loft insulation'!E51,-1)</f>
        <v>7300</v>
      </c>
      <c r="F31" s="115">
        <f>ROUND('Loft insulation'!F51,-1)</f>
        <v>8370</v>
      </c>
      <c r="G31" s="117">
        <f>ROUND('Loft insulation'!G51,-1)</f>
        <v>9300</v>
      </c>
      <c r="H31" s="113">
        <f>ROUND('Loft insulation'!H51,-1)</f>
        <v>3560</v>
      </c>
      <c r="I31" s="115">
        <f>ROUND('Loft insulation'!I51,-1)</f>
        <v>4030</v>
      </c>
      <c r="J31" s="117">
        <f>ROUND('Loft insulation'!J51,-1)</f>
        <v>4550</v>
      </c>
      <c r="K31" s="127">
        <f>'Loft insulation'!N12</f>
        <v>0.28</v>
      </c>
      <c r="L31" s="602">
        <f>'Loft insulation'!K51/1000</f>
        <v>0.2351755066</v>
      </c>
      <c r="M31" s="603">
        <f>'Loft insulation'!L51/1000</f>
        <v>0.2482408125</v>
      </c>
      <c r="N31" s="605">
        <f>'Loft insulation'!M51/1000</f>
        <v>0.2586930573</v>
      </c>
      <c r="O31" s="602">
        <f>'Loft insulation'!N51/1000</f>
        <v>0.04218619234</v>
      </c>
      <c r="P31" s="603">
        <f>'Loft insulation'!O51/1000</f>
        <v>0.04452986969</v>
      </c>
      <c r="Q31" s="605">
        <f>'Loft insulation'!P51/1000</f>
        <v>0.04640481158</v>
      </c>
      <c r="R31" s="602">
        <f>'Loft insulation'!Q51/1000</f>
        <v>0.02052122116</v>
      </c>
      <c r="S31" s="603">
        <f>'Loft insulation'!R51/1000</f>
        <v>0.021661289</v>
      </c>
      <c r="T31" s="605">
        <f>'Loft insulation'!S51/1000</f>
        <v>0.02257334328</v>
      </c>
      <c r="U31" s="412">
        <f>(L31+O31+R31)/numberDwellingsUK*1000000</f>
        <v>0.009718284738</v>
      </c>
      <c r="V31" s="151">
        <f>(M31+P31+S31)/numberDwellingsUK*1000000</f>
        <v>0.01025818945</v>
      </c>
      <c r="W31" s="156">
        <f>(N31+Q31+T31)/numberDwellingsUK*1000000</f>
        <v>0.01069011321</v>
      </c>
      <c r="X31" s="161">
        <f>(B31*gasPricePerkWh*L31+E31*oilPriceP*O31+H31*OffPeakTariff*R31)/100/SUM(L31,O31,R31)</f>
        <v>421.0829199</v>
      </c>
      <c r="Y31" s="165">
        <f>(C31*gasPricePerkWh*M31+F31*oilPriceP*P31+I31*OffPeakTariff*S31)/100/SUM(M31,P31,S31)</f>
        <v>482.1093323</v>
      </c>
      <c r="Z31" s="168">
        <f>(D31*gasPricePerkWh*N31+G31*oilPriceP*Q31+J31*OffPeakTariff*T31)/100/SUM(N31,Q31,T31)</f>
        <v>536.7030015</v>
      </c>
      <c r="AA31" s="171">
        <f>(B31*L31*carbonGasPerkWh+E31*O31*carbonOilPerkWh + H31*R31*carbonElectricityPerkWh)</f>
        <v>290.607589</v>
      </c>
      <c r="AB31" s="173">
        <f>(C31*M31*carbonGasPerkWh+F31*P31*carbonOilPerkWh + I31*S31*carbonElectricityPerkWh)</f>
        <v>351.4016624</v>
      </c>
      <c r="AC31" s="173">
        <f>(D31*N31*carbonGasPerkWh+G31*Q31*carbonOilPerkWh + J31*T31*carbonElectricityPerkWh)</f>
        <v>407.3851017</v>
      </c>
      <c r="AD31" s="177">
        <f t="shared" ref="AD31:AF31" si="22">(B31*L31+E31*O31+H31*R31)/1000</f>
        <v>1.444008041</v>
      </c>
      <c r="AE31" s="178">
        <f t="shared" si="22"/>
        <v>1.745897413</v>
      </c>
      <c r="AF31" s="180">
        <f t="shared" si="22"/>
        <v>2.02434547</v>
      </c>
      <c r="AG31" s="161">
        <f>ROUND(10000*(C31*M31*gasPricePerkWh+F31*P31*oilPricePerkWh+I31*S31*OffPeakTariff),-3)</f>
        <v>151591000</v>
      </c>
      <c r="AH31" s="633" t="str">
        <f>'Loft insulation'!T51</f>
        <v>high</v>
      </c>
      <c r="AI31" s="633" t="s">
        <v>85</v>
      </c>
      <c r="AJ31" s="184" t="s">
        <v>356</v>
      </c>
      <c r="AL31" s="185"/>
      <c r="AM31" s="186"/>
      <c r="AN31" s="186"/>
    </row>
    <row r="32">
      <c r="A32" s="73" t="s">
        <v>454</v>
      </c>
      <c r="B32" s="113">
        <f>ROUND('Loft insulation'!B52,-1)</f>
        <v>1220</v>
      </c>
      <c r="C32" s="115">
        <f>ROUND('Loft insulation'!C52,-1)</f>
        <v>1510</v>
      </c>
      <c r="D32" s="117">
        <f>ROUND('Loft insulation'!D52,-1)</f>
        <v>1700</v>
      </c>
      <c r="E32" s="113">
        <f>ROUND('Loft insulation'!E52,-1)</f>
        <v>1980</v>
      </c>
      <c r="F32" s="115">
        <f>ROUND('Loft insulation'!F52,-1)</f>
        <v>2430</v>
      </c>
      <c r="G32" s="117">
        <f>ROUND('Loft insulation'!G52,-1)</f>
        <v>2750</v>
      </c>
      <c r="H32" s="113">
        <f>ROUND('Loft insulation'!H52,-1)</f>
        <v>1090</v>
      </c>
      <c r="I32" s="115">
        <f>ROUND('Loft insulation'!I52,-1)</f>
        <v>1200</v>
      </c>
      <c r="J32" s="117">
        <f>ROUND('Loft insulation'!J52,-1)</f>
        <v>1300</v>
      </c>
      <c r="K32" s="127">
        <f>'Loft insulation'!N13</f>
        <v>0.11</v>
      </c>
      <c r="L32" s="602">
        <f>'Loft insulation'!K52/1000</f>
        <v>0.7899350018</v>
      </c>
      <c r="M32" s="603">
        <f>'Loft insulation'!L52/1000</f>
        <v>0.8338202796</v>
      </c>
      <c r="N32" s="605">
        <f>'Loft insulation'!M52/1000</f>
        <v>0.8689285019</v>
      </c>
      <c r="O32" s="602">
        <f>'Loft insulation'!N52/1000</f>
        <v>0.06892338136</v>
      </c>
      <c r="P32" s="603">
        <f>'Loft insulation'!O52/1000</f>
        <v>0.0727524581</v>
      </c>
      <c r="Q32" s="605">
        <f>'Loft insulation'!P52/1000</f>
        <v>0.0758157195</v>
      </c>
      <c r="R32" s="602">
        <f>'Loft insulation'!Q52/1000</f>
        <v>0.08064837962</v>
      </c>
      <c r="S32" s="603">
        <f>'Loft insulation'!R52/1000</f>
        <v>0.08512884515</v>
      </c>
      <c r="T32" s="605">
        <f>'Loft insulation'!S52/1000</f>
        <v>0.08871321758</v>
      </c>
      <c r="U32" s="412">
        <f>(L32+O32+R32)/numberDwellingsUK*1000000</f>
        <v>0.03065094914</v>
      </c>
      <c r="V32" s="151">
        <f>(M32+P32+S32)/numberDwellingsUK*1000000</f>
        <v>0.03235377964</v>
      </c>
      <c r="W32" s="156">
        <f>(N32+Q32+T32)/numberDwellingsUK*1000000</f>
        <v>0.03371604405</v>
      </c>
      <c r="X32" s="161">
        <f>(B32*gasPricePerkWh*L32+E32*oilPriceP*O32+H32*OffPeakTariff*R32)/100/SUM(L32,O32,R32)</f>
        <v>109.8234698</v>
      </c>
      <c r="Y32" s="165">
        <f>(C32*gasPricePerkWh*M32+F32*oilPriceP*P32+I32*OffPeakTariff*S32)/100/SUM(M32,P32,S32)</f>
        <v>133.8628228</v>
      </c>
      <c r="Z32" s="168">
        <f>(D32*gasPricePerkWh*N32+G32*oilPriceP*Q32+J32*OffPeakTariff*T32)/100/SUM(N32,Q32,T32)</f>
        <v>150.1508118</v>
      </c>
      <c r="AA32" s="171">
        <f>(B32*L32*carbonGasPerkWh+E32*O32*carbonOilPerkWh + H32*R32*carbonElectricityPerkWh)</f>
        <v>228.76682</v>
      </c>
      <c r="AB32" s="173">
        <f>(C32*M32*carbonGasPerkWh+F32*P32*carbonOilPerkWh + I32*S32*carbonElectricityPerkWh)</f>
        <v>296.2238123</v>
      </c>
      <c r="AC32" s="173">
        <f>(D32*N32*carbonGasPerkWh+G32*Q32*carbonOilPerkWh + J32*T32*carbonElectricityPerkWh)</f>
        <v>347.02974</v>
      </c>
      <c r="AD32" s="177">
        <f t="shared" ref="AD32:AF32" si="23">(B32*L32+E32*O32+H32*R32)/1000</f>
        <v>1.188095731</v>
      </c>
      <c r="AE32" s="178">
        <f t="shared" si="23"/>
        <v>1.53801171</v>
      </c>
      <c r="AF32" s="180">
        <f t="shared" si="23"/>
        <v>1.800998865</v>
      </c>
      <c r="AG32" s="161">
        <f>ROUND(10000*(C32*M32*gasPricePerkWh+F32*P32*oilPricePerkWh+I32*S32*OffPeakTariff),-3)</f>
        <v>132752000</v>
      </c>
      <c r="AH32" s="633" t="str">
        <f>'Loft insulation'!T52</f>
        <v>high</v>
      </c>
      <c r="AI32" s="633" t="s">
        <v>85</v>
      </c>
      <c r="AJ32" s="184" t="s">
        <v>356</v>
      </c>
      <c r="AL32" s="185"/>
      <c r="AM32" s="186"/>
      <c r="AN32" s="186"/>
    </row>
    <row r="33">
      <c r="A33" s="73" t="s">
        <v>466</v>
      </c>
      <c r="B33" s="113">
        <f>ROUND('Loft insulation'!B53,-1)</f>
        <v>540</v>
      </c>
      <c r="C33" s="115">
        <f>ROUND('Loft insulation'!C53,-1)</f>
        <v>710</v>
      </c>
      <c r="D33" s="117">
        <f>ROUND('Loft insulation'!D53,-1)</f>
        <v>800</v>
      </c>
      <c r="E33" s="113">
        <f>ROUND('Loft insulation'!E53,-1)</f>
        <v>880</v>
      </c>
      <c r="F33" s="115">
        <f>ROUND('Loft insulation'!F53,-1)</f>
        <v>1150</v>
      </c>
      <c r="G33" s="117">
        <f>ROUND('Loft insulation'!G53,-1)</f>
        <v>1290</v>
      </c>
      <c r="H33" s="113">
        <f>ROUND('Loft insulation'!H53,-1)</f>
        <v>480</v>
      </c>
      <c r="I33" s="115">
        <f>ROUND('Loft insulation'!I53,-1)</f>
        <v>550</v>
      </c>
      <c r="J33" s="117">
        <f>ROUND('Loft insulation'!J53,-1)</f>
        <v>610</v>
      </c>
      <c r="K33" s="127">
        <f>'Loft insulation'!N14</f>
        <v>0.058</v>
      </c>
      <c r="L33" s="602">
        <f>'Loft insulation'!K53/1000</f>
        <v>3.946068349</v>
      </c>
      <c r="M33" s="603">
        <f>'Loft insulation'!L53/1000</f>
        <v>4.165294368</v>
      </c>
      <c r="N33" s="605">
        <f>'Loft insulation'!M53/1000</f>
        <v>4.340675184</v>
      </c>
      <c r="O33" s="602">
        <f>'Loft insulation'!N53/1000</f>
        <v>0.3373344304</v>
      </c>
      <c r="P33" s="603">
        <f>'Loft insulation'!O53/1000</f>
        <v>0.3560752321</v>
      </c>
      <c r="Q33" s="605">
        <f>'Loft insulation'!P53/1000</f>
        <v>0.3710678734</v>
      </c>
      <c r="R33" s="602">
        <f>'Loft insulation'!Q53/1000</f>
        <v>0.1908120329</v>
      </c>
      <c r="S33" s="603">
        <f>'Loft insulation'!R53/1000</f>
        <v>0.2014127014</v>
      </c>
      <c r="T33" s="605">
        <f>'Loft insulation'!S53/1000</f>
        <v>0.2098932362</v>
      </c>
      <c r="U33" s="412">
        <f>(L33+O33+R33)/numberDwellingsUK*1000000</f>
        <v>0.1459690724</v>
      </c>
      <c r="V33" s="151">
        <f>(M33+P33+S33)/numberDwellingsUK*1000000</f>
        <v>0.1540784653</v>
      </c>
      <c r="W33" s="156">
        <f>(N33+Q33+T33)/numberDwellingsUK*1000000</f>
        <v>0.1605659796</v>
      </c>
      <c r="X33" s="161">
        <f>(B33*gasPricePerkWh*L33+E33*oilPriceP*O33+H33*OffPeakTariff*R33)/100/SUM(L33,O33,R33)</f>
        <v>47.43869922</v>
      </c>
      <c r="Y33" s="165">
        <f>(C33*gasPricePerkWh*M33+F33*oilPriceP*P33+I33*OffPeakTariff*S33)/100/SUM(M33,P33,S33)</f>
        <v>61.80297043</v>
      </c>
      <c r="Z33" s="168">
        <f>(D33*gasPricePerkWh*N33+G33*oilPriceP*Q33+J33*OffPeakTariff*T33)/100/SUM(N33,Q33,T33)</f>
        <v>69.53291542</v>
      </c>
      <c r="AA33" s="171">
        <f>(B33*L33*carbonGasPerkWh+E33*O33*carbonOilPerkWh + H33*R33*carbonElectricityPerkWh)</f>
        <v>486.3125252</v>
      </c>
      <c r="AB33" s="173">
        <f>(C33*M33*carbonGasPerkWh+F33*P33*carbonOilPerkWh + I33*S33*carbonElectricityPerkWh)</f>
        <v>671.3655833</v>
      </c>
      <c r="AC33" s="173">
        <f>(D33*N33*carbonGasPerkWh+G33*Q33*carbonOilPerkWh + J33*T33*carbonElectricityPerkWh)</f>
        <v>787.3799599</v>
      </c>
      <c r="AD33" s="177">
        <f t="shared" ref="AD33:AF33" si="24">(B33*L33+E33*O33+H33*R33)/1000</f>
        <v>2.519320983</v>
      </c>
      <c r="AE33" s="178">
        <f t="shared" si="24"/>
        <v>3.477622504</v>
      </c>
      <c r="AF33" s="180">
        <f t="shared" si="24"/>
        <v>4.079252578</v>
      </c>
      <c r="AG33" s="161">
        <f>ROUND(10000*(C33*M33*gasPricePerkWh+F33*P33*oilPricePerkWh+I33*S33*OffPeakTariff),-3)</f>
        <v>291882000</v>
      </c>
      <c r="AH33" s="633" t="str">
        <f>'Loft insulation'!T53</f>
        <v>medium</v>
      </c>
      <c r="AI33" s="633" t="s">
        <v>477</v>
      </c>
      <c r="AJ33" s="184" t="s">
        <v>356</v>
      </c>
      <c r="AL33" s="185"/>
      <c r="AM33" s="186"/>
      <c r="AN33" s="186"/>
    </row>
    <row r="34">
      <c r="A34" s="73" t="str">
        <f>'Loft insulation'!A54</f>
        <v>100-150 to 300mm</v>
      </c>
      <c r="B34" s="113">
        <f>ROUND('Loft insulation'!B54,-1)</f>
        <v>370</v>
      </c>
      <c r="C34" s="115">
        <f>ROUND('Loft insulation'!C54,-1)</f>
        <v>440</v>
      </c>
      <c r="D34" s="117">
        <f>ROUND('Loft insulation'!D54,-1)</f>
        <v>490</v>
      </c>
      <c r="E34" s="113">
        <f>ROUND('Loft insulation'!E54,-1)</f>
        <v>600</v>
      </c>
      <c r="F34" s="115">
        <f>ROUND('Loft insulation'!F54,-1)</f>
        <v>700</v>
      </c>
      <c r="G34" s="117">
        <f>ROUND('Loft insulation'!G54,-1)</f>
        <v>790</v>
      </c>
      <c r="H34" s="113">
        <f>ROUND('Loft insulation'!H54,-1)</f>
        <v>310</v>
      </c>
      <c r="I34" s="115">
        <f>ROUND('Loft insulation'!I54,-1)</f>
        <v>350</v>
      </c>
      <c r="J34" s="117">
        <f>ROUND('Loft insulation'!J54,-1)</f>
        <v>390</v>
      </c>
      <c r="K34" s="127">
        <f>'Loft insulation'!N15</f>
        <v>0.038</v>
      </c>
      <c r="L34" s="602">
        <f>'Loft insulation'!K54/1000</f>
        <v>3.313429382</v>
      </c>
      <c r="M34" s="603">
        <f>'Loft insulation'!L54/1000</f>
        <v>3.497508792</v>
      </c>
      <c r="N34" s="605">
        <f>'Loft insulation'!M54/1000</f>
        <v>3.64477232</v>
      </c>
      <c r="O34" s="602">
        <f>'Loft insulation'!N54/1000</f>
        <v>0.289932108</v>
      </c>
      <c r="P34" s="603">
        <f>'Loft insulation'!O54/1000</f>
        <v>0.3060394474</v>
      </c>
      <c r="Q34" s="605">
        <f>'Loft insulation'!P54/1000</f>
        <v>0.3189253188</v>
      </c>
      <c r="R34" s="602">
        <f>'Loft insulation'!Q54/1000</f>
        <v>0.2020908594</v>
      </c>
      <c r="S34" s="603">
        <f>'Loft insulation'!R54/1000</f>
        <v>0.2133181294</v>
      </c>
      <c r="T34" s="605">
        <f>'Loft insulation'!S54/1000</f>
        <v>0.2222999454</v>
      </c>
      <c r="U34" s="412">
        <f>(L34+O34+R34)/numberDwellingsUK*1000000</f>
        <v>0.1241510237</v>
      </c>
      <c r="V34" s="151">
        <f>(M34+P34+S34)/numberDwellingsUK*1000000</f>
        <v>0.1310483028</v>
      </c>
      <c r="W34" s="156">
        <f>(N34+Q34+T34)/numberDwellingsUK*1000000</f>
        <v>0.1365661261</v>
      </c>
      <c r="X34" s="161">
        <f>(B34*gasPricePerkWh*L34+E34*oilPriceP*O34+H34*OffPeakTariff*R34)/100/SUM(L34,O34,R34)</f>
        <v>32.56238446</v>
      </c>
      <c r="Y34" s="165">
        <f>(C34*gasPricePerkWh*M34+F34*oilPriceP*P34+I34*OffPeakTariff*S34)/100/SUM(M34,P34,S34)</f>
        <v>38.47480748</v>
      </c>
      <c r="Z34" s="168">
        <f>(D34*gasPricePerkWh*N34+G34*oilPriceP*Q34+J34*OffPeakTariff*T34)/100/SUM(N34,Q34,T34)</f>
        <v>42.9257133</v>
      </c>
      <c r="AA34" s="171">
        <f>(B34*L34*carbonGasPerkWh+E34*O34*carbonOilPerkWh + H34*R34*carbonElectricityPerkWh)</f>
        <v>282.4100304</v>
      </c>
      <c r="AB34" s="173">
        <f>(C34*M34*carbonGasPerkWh+F34*P34*carbonOilPerkWh + I34*S34*carbonElectricityPerkWh)</f>
        <v>352.6759216</v>
      </c>
      <c r="AC34" s="173">
        <f>(D34*N34*carbonGasPerkWh+G34*Q34*carbonOilPerkWh + J34*T34*carbonElectricityPerkWh)</f>
        <v>410.1988697</v>
      </c>
      <c r="AD34" s="177">
        <f t="shared" ref="AD34:AF34" si="25">(B34*L34+E34*O34+H34*R34)/1000</f>
        <v>1.462576303</v>
      </c>
      <c r="AE34" s="178">
        <f t="shared" si="25"/>
        <v>1.827792827</v>
      </c>
      <c r="AF34" s="180">
        <f t="shared" si="25"/>
        <v>2.124586418</v>
      </c>
      <c r="AG34" s="161">
        <f>ROUND(10000*(C34*M34*gasPricePerkWh+F34*P34*oilPricePerkWh+I34*S34*OffPeakTariff),-3)</f>
        <v>154548000</v>
      </c>
      <c r="AH34" s="633" t="str">
        <f>'Loft insulation'!T54</f>
        <v>medium</v>
      </c>
      <c r="AI34" s="633" t="s">
        <v>477</v>
      </c>
      <c r="AJ34" s="184" t="s">
        <v>356</v>
      </c>
      <c r="AL34" s="185"/>
      <c r="AM34" s="186"/>
      <c r="AN34" s="186"/>
    </row>
    <row r="35">
      <c r="A35" s="73" t="str">
        <f>'Loft insulation'!A55</f>
        <v>150-200 to 300mm</v>
      </c>
      <c r="B35" s="113">
        <f>ROUND('Loft insulation'!B55,-1)</f>
        <v>160</v>
      </c>
      <c r="C35" s="115">
        <f>ROUND('Loft insulation'!C55,-1)</f>
        <v>180</v>
      </c>
      <c r="D35" s="117">
        <f>ROUND('Loft insulation'!D55,-1)</f>
        <v>200</v>
      </c>
      <c r="E35" s="113">
        <f>ROUND('Loft insulation'!E55,-1)</f>
        <v>250</v>
      </c>
      <c r="F35" s="115">
        <f>ROUND('Loft insulation'!F55,-1)</f>
        <v>290</v>
      </c>
      <c r="G35" s="117">
        <f>ROUND('Loft insulation'!G55,-1)</f>
        <v>330</v>
      </c>
      <c r="H35" s="113">
        <f>ROUND('Loft insulation'!H55,-1)</f>
        <v>130</v>
      </c>
      <c r="I35" s="115">
        <f>ROUND('Loft insulation'!I55,-1)</f>
        <v>150</v>
      </c>
      <c r="J35" s="117">
        <f>ROUND('Loft insulation'!J55,-1)</f>
        <v>170</v>
      </c>
      <c r="K35" s="127">
        <f>'Loft insulation'!N16</f>
        <v>0.016</v>
      </c>
      <c r="L35" s="602">
        <f>'Loft insulation'!K55/1000</f>
        <v>2.892687367</v>
      </c>
      <c r="M35" s="603">
        <f>'Loft insulation'!L55/1000</f>
        <v>3.053392221</v>
      </c>
      <c r="N35" s="605">
        <f>'Loft insulation'!M55/1000</f>
        <v>3.181956104</v>
      </c>
      <c r="O35" s="602">
        <f>'Loft insulation'!N55/1000</f>
        <v>0.2164934524</v>
      </c>
      <c r="P35" s="603">
        <f>'Loft insulation'!O55/1000</f>
        <v>0.2285208664</v>
      </c>
      <c r="Q35" s="605">
        <f>'Loft insulation'!P55/1000</f>
        <v>0.2381427976</v>
      </c>
      <c r="R35" s="602">
        <f>'Loft insulation'!Q55/1000</f>
        <v>0.1678334927</v>
      </c>
      <c r="S35" s="603">
        <f>'Loft insulation'!R55/1000</f>
        <v>0.1771575756</v>
      </c>
      <c r="T35" s="605">
        <f>'Loft insulation'!S55/1000</f>
        <v>0.184616842</v>
      </c>
      <c r="U35" s="412">
        <f>(L35+O35+R35)/numberDwellingsUK*1000000</f>
        <v>0.1069109909</v>
      </c>
      <c r="V35" s="151">
        <f>(M35+P35+S35)/numberDwellingsUK*1000000</f>
        <v>0.1128504904</v>
      </c>
      <c r="W35" s="156">
        <f>(N35+Q35+T35)/numberDwellingsUK*1000000</f>
        <v>0.11760209</v>
      </c>
      <c r="X35" s="161">
        <f>(B35*gasPricePerkWh*L35+E35*oilPriceP*O35+H35*OffPeakTariff*R35)/100/SUM(L35,O35,R35)</f>
        <v>13.85090468</v>
      </c>
      <c r="Y35" s="165">
        <f>(C35*gasPricePerkWh*M35+F35*oilPriceP*P35+I35*OffPeakTariff*S35)/100/SUM(M35,P35,S35)</f>
        <v>15.66692781</v>
      </c>
      <c r="Z35" s="168">
        <f>(D35*gasPricePerkWh*N35+G35*oilPriceP*Q35+J35*OffPeakTariff*T35)/100/SUM(N35,Q35,T35)</f>
        <v>17.48295095</v>
      </c>
      <c r="AA35" s="171">
        <f>(B35*L35*carbonGasPerkWh+E35*O35*carbonOilPerkWh + H35*R35*carbonElectricityPerkWh)</f>
        <v>103.1730428</v>
      </c>
      <c r="AB35" s="173">
        <f>(C35*M35*carbonGasPerkWh+F35*P35*carbonOilPerkWh + I35*S35*carbonElectricityPerkWh)</f>
        <v>123.1754572</v>
      </c>
      <c r="AC35" s="173">
        <f>(D35*N35*carbonGasPerkWh+G35*Q35*carbonOilPerkWh + J35*T35*carbonElectricityPerkWh)</f>
        <v>143.2332374</v>
      </c>
      <c r="AD35" s="177">
        <f t="shared" ref="AD35:AF35" si="26">(B35*L35+E35*O35+H35*R35)/1000</f>
        <v>0.5387716959</v>
      </c>
      <c r="AE35" s="178">
        <f t="shared" si="26"/>
        <v>0.6424552873</v>
      </c>
      <c r="AF35" s="180">
        <f t="shared" si="26"/>
        <v>0.7463632071</v>
      </c>
      <c r="AG35" s="161">
        <f>ROUND(10000*(C35*M35*gasPricePerkWh+F35*P35*oilPricePerkWh+I35*S35*OffPeakTariff),-3)</f>
        <v>54193000</v>
      </c>
      <c r="AH35" s="633" t="str">
        <f>'Loft insulation'!T55</f>
        <v>low</v>
      </c>
      <c r="AI35" s="633" t="s">
        <v>477</v>
      </c>
      <c r="AJ35" s="184" t="s">
        <v>356</v>
      </c>
      <c r="AL35" s="185"/>
      <c r="AM35" s="186"/>
      <c r="AN35" s="186"/>
    </row>
    <row r="36">
      <c r="A36" s="1" t="s">
        <v>531</v>
      </c>
      <c r="B36" s="152"/>
      <c r="C36" s="27"/>
      <c r="D36" s="170"/>
      <c r="E36" s="152"/>
      <c r="F36" s="27"/>
      <c r="G36" s="170"/>
      <c r="H36" s="152"/>
      <c r="I36" s="27"/>
      <c r="J36" s="170"/>
      <c r="K36" s="669"/>
      <c r="L36" s="152"/>
      <c r="M36" s="27"/>
      <c r="N36" s="170"/>
      <c r="O36" s="152"/>
      <c r="P36" s="27"/>
      <c r="Q36" s="170"/>
      <c r="R36" s="152"/>
      <c r="S36" s="27"/>
      <c r="T36" s="170"/>
      <c r="U36" s="210"/>
      <c r="W36" s="163"/>
      <c r="X36" s="210"/>
      <c r="Z36" s="163"/>
      <c r="AA36" s="210"/>
      <c r="AD36" s="210"/>
      <c r="AF36" s="163"/>
      <c r="AG36" s="450"/>
      <c r="AH36" s="670"/>
      <c r="AI36" s="670"/>
      <c r="AJ36" s="385"/>
      <c r="AL36" s="158"/>
    </row>
    <row r="37">
      <c r="A37" s="2" t="s">
        <v>533</v>
      </c>
      <c r="B37" s="113">
        <f>ROUND('Radiator foil'!B89,0)</f>
        <v>5</v>
      </c>
      <c r="C37" s="115">
        <f>ROUND('Radiator foil'!C89,0)</f>
        <v>21</v>
      </c>
      <c r="D37" s="117">
        <f>ROUND('Radiator foil'!D89,0)</f>
        <v>44</v>
      </c>
      <c r="E37" s="113">
        <f>ROUND('Radiator foil'!E89,0)</f>
        <v>8</v>
      </c>
      <c r="F37" s="115">
        <f>ROUND('Radiator foil'!F89,0)</f>
        <v>36</v>
      </c>
      <c r="G37" s="117">
        <f>ROUND('Radiator foil'!G89,0)</f>
        <v>74</v>
      </c>
      <c r="H37" s="113">
        <f>ROUND('Radiator foil'!H89,0)</f>
        <v>0</v>
      </c>
      <c r="I37" s="115">
        <f>ROUND('Radiator foil'!I89,0)</f>
        <v>0</v>
      </c>
      <c r="J37" s="117">
        <f>ROUND('Radiator foil'!J89,0)</f>
        <v>0</v>
      </c>
      <c r="K37" s="127">
        <f>C37/MeanDomesticGasBill</f>
        <v>0.002126328983</v>
      </c>
      <c r="L37" s="602">
        <f>'Radiator foil'!K89/1000</f>
        <v>3.827131753</v>
      </c>
      <c r="M37" s="603">
        <f>'Radiator foil'!L89/1000</f>
        <v>4.252368614</v>
      </c>
      <c r="N37" s="605">
        <f>'Radiator foil'!M89/1000</f>
        <v>4.677605476</v>
      </c>
      <c r="O37" s="602">
        <f>'Radiator foil'!N89/1000</f>
        <v>0.217406216</v>
      </c>
      <c r="P37" s="603">
        <f>'Radiator foil'!O89/1000</f>
        <v>0.27175777</v>
      </c>
      <c r="Q37" s="605">
        <f>'Radiator foil'!P89/1000</f>
        <v>0.298933547</v>
      </c>
      <c r="R37" s="602">
        <f>'Radiator foil'!Q89/1000</f>
        <v>0</v>
      </c>
      <c r="S37" s="603">
        <f>'Radiator foil'!R89/1000</f>
        <v>0</v>
      </c>
      <c r="T37" s="605">
        <f>'Radiator foil'!S89/1000</f>
        <v>0</v>
      </c>
      <c r="U37" s="412">
        <f>(L37+O37+R37)/numberDwellingsUK*1000000</f>
        <v>0.1319510753</v>
      </c>
      <c r="V37" s="151">
        <f>(M37+P37+S37)/numberDwellingsUK*1000000</f>
        <v>0.147597413</v>
      </c>
      <c r="W37" s="156">
        <f>(N37+Q37+T37)/numberDwellingsUK*1000000</f>
        <v>0.1623571543</v>
      </c>
      <c r="X37" s="161">
        <f>(B37*gasPricePerkWh*L37+E37*oilPriceP*O37+H37*OffPeakTariff*R37)/100/SUM(L37,O37,R37)</f>
        <v>0.4186276575</v>
      </c>
      <c r="Y37" s="165">
        <f>(C37*gasPricePerkWh*M37+F37*oilPriceP*P37+I37*OffPeakTariff*S37)/100/SUM(M37,P37,S37)</f>
        <v>1.782097378</v>
      </c>
      <c r="Z37" s="168">
        <f>(D37*gasPricePerkWh*N37+G37*oilPriceP*Q37+J37*OffPeakTariff*T37)/100/SUM(N37,Q37,T37)</f>
        <v>3.725627279</v>
      </c>
      <c r="AA37" s="171">
        <f>(B37*L37*carbonGasPerkWh+E37*O37*carbonOilPerkWh + H37*R37*carbonElectricityPerkWh)</f>
        <v>3.971422981</v>
      </c>
      <c r="AB37" s="173">
        <f>(C37*M37*carbonGasPerkWh+F37*P37*carbonOilPerkWh + I37*S37*carbonElectricityPerkWh)</f>
        <v>18.98333811</v>
      </c>
      <c r="AC37" s="173">
        <f>(D37*N37*carbonGasPerkWh+G37*Q37*carbonOilPerkWh + J37*T37*carbonElectricityPerkWh)</f>
        <v>43.63677156</v>
      </c>
      <c r="AD37" s="177">
        <f t="shared" ref="AD37:AF37" si="27">(B37*L37+E37*O37+H37*R37)/1000</f>
        <v>0.02087490849</v>
      </c>
      <c r="AE37" s="178">
        <f t="shared" si="27"/>
        <v>0.09908302062</v>
      </c>
      <c r="AF37" s="180">
        <f t="shared" si="27"/>
        <v>0.2279357234</v>
      </c>
      <c r="AG37" s="161">
        <f>ROUND(10000*(C37*M37*gasPricePerkWh+F37*P37*oilPricePerkWh+I37*S37*OffPeakTariff),-3)</f>
        <v>8062000</v>
      </c>
      <c r="AH37" s="746" t="str">
        <f>'Radiator foil'!T89</f>
        <v>-</v>
      </c>
      <c r="AI37" s="746" t="s">
        <v>168</v>
      </c>
      <c r="AJ37" s="184" t="s">
        <v>86</v>
      </c>
      <c r="AL37" s="185"/>
    </row>
    <row r="38">
      <c r="A38" s="2" t="s">
        <v>551</v>
      </c>
      <c r="B38" s="113">
        <f>ROUND('Radiator foil'!B90,-1)</f>
        <v>10</v>
      </c>
      <c r="C38" s="115">
        <f>ROUND('Radiator foil'!C90,-1)</f>
        <v>40</v>
      </c>
      <c r="D38" s="117">
        <f>ROUND('Radiator foil'!D90,-1)</f>
        <v>80</v>
      </c>
      <c r="E38" s="113">
        <f>ROUND('Radiator foil'!E90,-1)</f>
        <v>10</v>
      </c>
      <c r="F38" s="115">
        <f>ROUND('Radiator foil'!F90,-1)</f>
        <v>60</v>
      </c>
      <c r="G38" s="117">
        <f>ROUND('Radiator foil'!G90,-1)</f>
        <v>130</v>
      </c>
      <c r="H38" s="113">
        <f>ROUND('Radiator foil'!H90,-1)</f>
        <v>0</v>
      </c>
      <c r="I38" s="115">
        <f>ROUND('Radiator foil'!I90,-1)</f>
        <v>0</v>
      </c>
      <c r="J38" s="117">
        <f>ROUND('Radiator foil'!J90,-1)</f>
        <v>0</v>
      </c>
      <c r="K38" s="127">
        <f>C38/MeanDomesticGasBill</f>
        <v>0.004050150444</v>
      </c>
      <c r="L38" s="602">
        <f>'Radiator foil'!K90/1000</f>
        <v>8.340790487</v>
      </c>
      <c r="M38" s="603">
        <f>'Radiator foil'!L90/1000</f>
        <v>10.42598811</v>
      </c>
      <c r="N38" s="605">
        <f>'Radiator foil'!M90/1000</f>
        <v>11.46858692</v>
      </c>
      <c r="O38" s="602">
        <f>'Radiator foil'!N90/1000</f>
        <v>0.533038132</v>
      </c>
      <c r="P38" s="603">
        <f>'Radiator foil'!O90/1000</f>
        <v>0.666297665</v>
      </c>
      <c r="Q38" s="605">
        <f>'Radiator foil'!P90/1000</f>
        <v>0.7329274315</v>
      </c>
      <c r="R38" s="602">
        <f>'Radiator foil'!Q90/1000</f>
        <v>0</v>
      </c>
      <c r="S38" s="603">
        <f>'Radiator foil'!R90/1000</f>
        <v>0</v>
      </c>
      <c r="T38" s="605">
        <f>'Radiator foil'!S90/1000</f>
        <v>0</v>
      </c>
      <c r="U38" s="412">
        <f>(L38+O38+R38)/numberDwellingsUK*1000000</f>
        <v>0.2895043234</v>
      </c>
      <c r="V38" s="151">
        <f>(M38+P38+S38)/numberDwellingsUK*1000000</f>
        <v>0.3618804042</v>
      </c>
      <c r="W38" s="156">
        <f>(N38+Q38+T38)/numberDwellingsUK*1000000</f>
        <v>0.3980684446</v>
      </c>
      <c r="X38" s="161">
        <f>(B38*gasPricePerkWh*L38+E38*oilPriceP*O38+H38*OffPeakTariff*R38)/100/SUM(L38,O38,R38)</f>
        <v>0.8071626142</v>
      </c>
      <c r="Y38" s="165">
        <f>(C38*gasPricePerkWh*M38+F38*oilPriceP*P38+I38*OffPeakTariff*S38)/100/SUM(M38,P38,S38)</f>
        <v>3.344724974</v>
      </c>
      <c r="Z38" s="168">
        <f>(D38*gasPricePerkWh*N38+G38*oilPriceP*Q38+J38*OffPeakTariff*T38)/100/SUM(N38,Q38,T38)</f>
        <v>6.747487207</v>
      </c>
      <c r="AA38" s="171">
        <f>(B38*L38*carbonGasPerkWh+E38*O38*carbonOilPerkWh + H38*R38*carbonElectricityPerkWh)</f>
        <v>16.70284955</v>
      </c>
      <c r="AB38" s="173">
        <f>(C38*M38*carbonGasPerkWh+F38*P38*carbonOilPerkWh + I38*S38*carbonElectricityPerkWh)</f>
        <v>87.11225513</v>
      </c>
      <c r="AC38" s="173">
        <f>(D38*N38*carbonGasPerkWh+G38*Q38*carbonOilPerkWh + J38*T38*carbonElectricityPerkWh)</f>
        <v>193.6258653</v>
      </c>
      <c r="AD38" s="177">
        <f t="shared" ref="AD38:AF38" si="28">(B38*L38+E38*O38+H38*R38)/1000</f>
        <v>0.08873828619</v>
      </c>
      <c r="AE38" s="178">
        <f t="shared" si="28"/>
        <v>0.4570173843</v>
      </c>
      <c r="AF38" s="180">
        <f t="shared" si="28"/>
        <v>1.01276752</v>
      </c>
      <c r="AG38" s="161">
        <f>ROUND(10000*(C38*M38*gasPricePerkWh+F38*P38*oilPricePerkWh+I38*S38*OffPeakTariff),-3)</f>
        <v>37101000</v>
      </c>
      <c r="AH38" s="746" t="str">
        <f>'Radiator foil'!T90</f>
        <v>-</v>
      </c>
      <c r="AI38" s="746" t="s">
        <v>168</v>
      </c>
      <c r="AJ38" s="184" t="s">
        <v>86</v>
      </c>
      <c r="AL38" s="185"/>
    </row>
    <row r="39">
      <c r="A39" s="2" t="s">
        <v>554</v>
      </c>
      <c r="B39" s="113">
        <f>ROUND('Radiator foil'!B91,-1)</f>
        <v>20</v>
      </c>
      <c r="C39" s="115">
        <f>ROUND('Radiator foil'!C91,-1)</f>
        <v>80</v>
      </c>
      <c r="D39" s="117">
        <f>ROUND('Radiator foil'!D91,-1)</f>
        <v>160</v>
      </c>
      <c r="E39" s="113">
        <f>ROUND('Radiator foil'!E91,-1)</f>
        <v>30</v>
      </c>
      <c r="F39" s="115">
        <f>ROUND('Radiator foil'!F91,-1)</f>
        <v>130</v>
      </c>
      <c r="G39" s="117">
        <f>ROUND('Radiator foil'!G91,-1)</f>
        <v>270</v>
      </c>
      <c r="H39" s="113">
        <f>ROUND('Radiator foil'!H91,-1)</f>
        <v>0</v>
      </c>
      <c r="I39" s="115">
        <f>ROUND('Radiator foil'!I91,-1)</f>
        <v>0</v>
      </c>
      <c r="J39" s="117">
        <f>ROUND('Radiator foil'!J91,-1)</f>
        <v>0</v>
      </c>
      <c r="K39" s="127">
        <f>C39/MeanDomesticGasBill</f>
        <v>0.008100300888</v>
      </c>
      <c r="L39" s="602">
        <f>'Radiator foil'!K91/1000</f>
        <v>8.750657341</v>
      </c>
      <c r="M39" s="603">
        <f>'Radiator foil'!L91/1000</f>
        <v>10.93832168</v>
      </c>
      <c r="N39" s="605">
        <f>'Radiator foil'!M91/1000</f>
        <v>12.03215384</v>
      </c>
      <c r="O39" s="602">
        <f>'Radiator foil'!N91/1000</f>
        <v>0.559231652</v>
      </c>
      <c r="P39" s="603">
        <f>'Radiator foil'!O91/1000</f>
        <v>0.699039565</v>
      </c>
      <c r="Q39" s="605">
        <f>'Radiator foil'!P91/1000</f>
        <v>0.7689435215</v>
      </c>
      <c r="R39" s="602">
        <f>'Radiator foil'!Q91/1000</f>
        <v>0</v>
      </c>
      <c r="S39" s="603">
        <f>'Radiator foil'!R91/1000</f>
        <v>0</v>
      </c>
      <c r="T39" s="605">
        <f>'Radiator foil'!S91/1000</f>
        <v>0</v>
      </c>
      <c r="U39" s="412">
        <f>(L39+O39+R39)/numberDwellingsUK*1000000</f>
        <v>0.30373058</v>
      </c>
      <c r="V39" s="151">
        <f>(M39+P39+S39)/numberDwellingsUK*1000000</f>
        <v>0.3796632251</v>
      </c>
      <c r="W39" s="156">
        <f>(N39+Q39+T39)/numberDwellingsUK*1000000</f>
        <v>0.4176295476</v>
      </c>
      <c r="X39" s="161">
        <f>(B39*gasPricePerkWh*L39+E39*oilPriceP*O39+H39*OffPeakTariff*R39)/100/SUM(L39,O39,R39)</f>
        <v>1.672362487</v>
      </c>
      <c r="Y39" s="165">
        <f>(C39*gasPricePerkWh*M39+F39*oilPriceP*P39+I39*OffPeakTariff*S39)/100/SUM(M39,P39,S39)</f>
        <v>6.747487207</v>
      </c>
      <c r="Z39" s="168">
        <f>(D39*gasPricePerkWh*N39+G39*oilPriceP*Q39+J39*OffPeakTariff*T39)/100/SUM(N39,Q39,T39)</f>
        <v>13.55301167</v>
      </c>
      <c r="AA39" s="171">
        <f>(B39*L39*carbonGasPerkWh+E39*O39*carbonOilPerkWh + H39*R39*carbonElectricityPerkWh)</f>
        <v>36.55718225</v>
      </c>
      <c r="AB39" s="173">
        <f>(C39*M39*carbonGasPerkWh+F39*P39*carbonOilPerkWh + I39*S39*carbonElectricityPerkWh)</f>
        <v>184.6733181</v>
      </c>
      <c r="AC39" s="173">
        <f>(D39*N39*carbonGasPerkWh+G39*Q39*carbonOilPerkWh + J39*T39*carbonElectricityPerkWh)</f>
        <v>408.3574473</v>
      </c>
      <c r="AD39" s="177">
        <f t="shared" ref="AD39:AF39" si="29">(B39*L39+E39*O39+H39*R39)/1000</f>
        <v>0.1917900964</v>
      </c>
      <c r="AE39" s="178">
        <f t="shared" si="29"/>
        <v>0.9659408776</v>
      </c>
      <c r="AF39" s="180">
        <f t="shared" si="29"/>
        <v>2.132759366</v>
      </c>
      <c r="AG39" s="161">
        <f>ROUND(10000*(C39*M39*gasPricePerkWh+F39*P39*oilPricePerkWh+I39*S39*OffPeakTariff),-3)</f>
        <v>78523000</v>
      </c>
      <c r="AH39" s="746" t="str">
        <f>'Radiator foil'!T91</f>
        <v>-</v>
      </c>
      <c r="AI39" s="746" t="s">
        <v>168</v>
      </c>
      <c r="AJ39" s="184" t="s">
        <v>86</v>
      </c>
      <c r="AL39" s="185"/>
    </row>
    <row r="40">
      <c r="A40" s="759" t="s">
        <v>555</v>
      </c>
      <c r="B40" s="113">
        <f>ROUND('Smart thermostats &amp; compensn'!B46,-1)</f>
        <v>40</v>
      </c>
      <c r="C40" s="115">
        <f>ROUND('Smart thermostats &amp; compensn'!C46,-1)</f>
        <v>370</v>
      </c>
      <c r="D40" s="117">
        <f>ROUND('Smart thermostats &amp; compensn'!D46,-1)</f>
        <v>590</v>
      </c>
      <c r="E40" s="113">
        <f>ROUND('Smart thermostats &amp; compensn'!E46,-1)</f>
        <v>70</v>
      </c>
      <c r="F40" s="115">
        <f>ROUND('Smart thermostats &amp; compensn'!F46,-1)</f>
        <v>670</v>
      </c>
      <c r="G40" s="117">
        <f>ROUND('Smart thermostats &amp; compensn'!G46,-1)</f>
        <v>1070</v>
      </c>
      <c r="H40" s="113">
        <f>ROUND('Smart thermostats &amp; compensn'!H46,-1)</f>
        <v>0</v>
      </c>
      <c r="I40" s="115">
        <f>ROUND('Smart thermostats &amp; compensn'!I46,-1)</f>
        <v>0</v>
      </c>
      <c r="J40" s="117">
        <f>ROUND('Smart thermostats &amp; compensn'!J46,-1)</f>
        <v>0</v>
      </c>
      <c r="K40" s="127">
        <f>C40/MeanDomesticGasBill</f>
        <v>0.03746389161</v>
      </c>
      <c r="L40" s="602">
        <f>'Smart thermostats &amp; compensn'!K46/1000</f>
        <v>15.11384026</v>
      </c>
      <c r="M40" s="603">
        <f>'Smart thermostats &amp; compensn'!L46/1000</f>
        <v>18.44400845</v>
      </c>
      <c r="N40" s="605">
        <f>'Smart thermostats &amp; compensn'!M46/1000</f>
        <v>20.49334272</v>
      </c>
      <c r="O40" s="602">
        <f>'Smart thermostats &amp; compensn'!N46/1000</f>
        <v>0</v>
      </c>
      <c r="P40" s="603">
        <f>'Smart thermostats &amp; compensn'!O46/1000</f>
        <v>0</v>
      </c>
      <c r="Q40" s="605">
        <f>'Smart thermostats &amp; compensn'!P46/1000</f>
        <v>0</v>
      </c>
      <c r="R40" s="602">
        <f>'Smart thermostats &amp; compensn'!Q46/1000</f>
        <v>0</v>
      </c>
      <c r="S40" s="603">
        <f>'Smart thermostats &amp; compensn'!R46/1000</f>
        <v>0</v>
      </c>
      <c r="T40" s="605">
        <f>'Smart thermostats &amp; compensn'!S46/1000</f>
        <v>0</v>
      </c>
      <c r="U40" s="412">
        <f>(L40+O40+R40)/numberDwellingsUK*1000000</f>
        <v>0.4930816545</v>
      </c>
      <c r="V40" s="151">
        <f>(M40+P40+S40)/numberDwellingsUK*1000000</f>
        <v>0.6017267648</v>
      </c>
      <c r="W40" s="156">
        <f>(N40+Q40+T40)/numberDwellingsUK*1000000</f>
        <v>0.6685852942</v>
      </c>
      <c r="X40" s="161">
        <f>(B40*gasPricePerkWh*L40+E40*oilPriceP*O40+H40*OffPeakTariff*R40)/100/SUM(L40,O40,R40)</f>
        <v>3.188</v>
      </c>
      <c r="Y40" s="165">
        <f>(C40*gasPricePerkWh*M40+F40*oilPriceP*P40+I40*OffPeakTariff*S40)/100/SUM(M40,P40,S40)</f>
        <v>29.489</v>
      </c>
      <c r="Z40" s="168">
        <f>(D40*gasPricePerkWh*N40+G40*oilPriceP*Q40+J40*OffPeakTariff*T40)/100/SUM(N40,Q40,T40)</f>
        <v>47.023</v>
      </c>
      <c r="AA40" s="171">
        <f>(B40*L40*carbonGasPerkWh+E40*O40*carbonOilPerkWh + H40*R40*carbonElectricityPerkWh)</f>
        <v>110.6333107</v>
      </c>
      <c r="AB40" s="173">
        <f>(C40*M40*carbonGasPerkWh+F40*P40*carbonOilPerkWh + I40*S40*carbonElectricityPerkWh)</f>
        <v>1248.843812</v>
      </c>
      <c r="AC40" s="173">
        <f>(D40*N40*carbonGasPerkWh+G40*Q40*carbonOilPerkWh + J40*T40*carbonElectricityPerkWh)</f>
        <v>2212.666213</v>
      </c>
      <c r="AD40" s="177">
        <f t="shared" ref="AD40:AF40" si="30">(B40*L40+E40*O40+H40*R40)/1000</f>
        <v>0.6045536102</v>
      </c>
      <c r="AE40" s="178">
        <f t="shared" si="30"/>
        <v>6.824283126</v>
      </c>
      <c r="AF40" s="180">
        <f t="shared" si="30"/>
        <v>12.0910722</v>
      </c>
      <c r="AG40" s="161">
        <f>ROUND(10000*(C40*M40*gasPricePerkWh+F40*P40*oilPricePerkWh+I40*S40*OffPeakTariff),-3)</f>
        <v>543895000</v>
      </c>
      <c r="AH40" s="633" t="str">
        <f>'Smart thermostats &amp; compensn'!T46</f>
        <v>-</v>
      </c>
      <c r="AI40" s="633" t="s">
        <v>85</v>
      </c>
      <c r="AJ40" s="184" t="s">
        <v>86</v>
      </c>
      <c r="AL40" s="185"/>
    </row>
    <row r="41">
      <c r="A41" s="759" t="s">
        <v>556</v>
      </c>
      <c r="B41" s="113">
        <f>ROUND('Smart thermostats &amp; compensn'!B47,-1)</f>
        <v>100</v>
      </c>
      <c r="C41" s="115">
        <f>ROUND('Smart thermostats &amp; compensn'!C47,-1)</f>
        <v>220</v>
      </c>
      <c r="D41" s="117">
        <f>ROUND('Smart thermostats &amp; compensn'!D47,-1)</f>
        <v>370</v>
      </c>
      <c r="E41" s="113">
        <f>ROUND('Smart thermostats &amp; compensn'!E47,-1)</f>
        <v>190</v>
      </c>
      <c r="F41" s="115">
        <f>ROUND('Smart thermostats &amp; compensn'!F47,-1)</f>
        <v>400</v>
      </c>
      <c r="G41" s="117">
        <f>ROUND('Smart thermostats &amp; compensn'!G47,-1)</f>
        <v>670</v>
      </c>
      <c r="H41" s="113">
        <f>ROUND('Smart thermostats &amp; compensn'!H47,-1)</f>
        <v>0</v>
      </c>
      <c r="I41" s="115">
        <f>ROUND('Smart thermostats &amp; compensn'!I47,-1)</f>
        <v>0</v>
      </c>
      <c r="J41" s="117">
        <f>ROUND('Smart thermostats &amp; compensn'!J47,-1)</f>
        <v>0</v>
      </c>
      <c r="K41" s="127">
        <f>C41/MeanDomesticGasBill</f>
        <v>0.02227582744</v>
      </c>
      <c r="L41" s="602">
        <f>'Smart thermostats &amp; compensn'!K47/1000</f>
        <v>15.11384026</v>
      </c>
      <c r="M41" s="603">
        <f>'Smart thermostats &amp; compensn'!L47/1000</f>
        <v>18.44400845</v>
      </c>
      <c r="N41" s="605">
        <f>'Smart thermostats &amp; compensn'!M47/1000</f>
        <v>20.49334272</v>
      </c>
      <c r="O41" s="602">
        <f>'Smart thermostats &amp; compensn'!N47/1000</f>
        <v>0</v>
      </c>
      <c r="P41" s="603">
        <f>'Smart thermostats &amp; compensn'!O47/1000</f>
        <v>0</v>
      </c>
      <c r="Q41" s="605">
        <f>'Smart thermostats &amp; compensn'!P47/1000</f>
        <v>0</v>
      </c>
      <c r="R41" s="602">
        <f>'Smart thermostats &amp; compensn'!Q47/1000</f>
        <v>0</v>
      </c>
      <c r="S41" s="603">
        <f>'Smart thermostats &amp; compensn'!R47/1000</f>
        <v>0</v>
      </c>
      <c r="T41" s="605">
        <f>'Smart thermostats &amp; compensn'!S47/1000</f>
        <v>0</v>
      </c>
      <c r="U41" s="412">
        <f>(L41+O41+R41)/numberDwellingsUK*1000000</f>
        <v>0.4930816545</v>
      </c>
      <c r="V41" s="151">
        <f>(M41+P41+S41)/numberDwellingsUK*1000000</f>
        <v>0.6017267648</v>
      </c>
      <c r="W41" s="156">
        <f>(N41+Q41+T41)/numberDwellingsUK*1000000</f>
        <v>0.6685852942</v>
      </c>
      <c r="X41" s="161">
        <f>(B41*gasPricePerkWh*L41+E41*oilPriceP*O41+H41*OffPeakTariff*R41)/100/SUM(L41,O41,R41)</f>
        <v>7.97</v>
      </c>
      <c r="Y41" s="165">
        <f>(C41*gasPricePerkWh*M41+F41*oilPriceP*P41+I41*OffPeakTariff*S41)/100/SUM(M41,P41,S41)</f>
        <v>17.534</v>
      </c>
      <c r="Z41" s="168">
        <f>(D41*gasPricePerkWh*N41+G41*oilPriceP*Q41+J41*OffPeakTariff*T41)/100/SUM(N41,Q41,T41)</f>
        <v>29.489</v>
      </c>
      <c r="AA41" s="171">
        <f>(B41*L41*carbonGasPerkWh+E41*O41*carbonOilPerkWh + H41*R41*carbonElectricityPerkWh)</f>
        <v>276.5832767</v>
      </c>
      <c r="AB41" s="173">
        <f>(C41*M41*carbonGasPerkWh+F41*P41*carbonOilPerkWh + I41*S41*carbonElectricityPerkWh)</f>
        <v>742.5557801</v>
      </c>
      <c r="AC41" s="173">
        <f>(D41*N41*carbonGasPerkWh+G41*Q41*carbonOilPerkWh + J41*T41*carbonElectricityPerkWh)</f>
        <v>1387.604236</v>
      </c>
      <c r="AD41" s="177">
        <f t="shared" ref="AD41:AF41" si="31">(B41*L41+E41*O41+H41*R41)/1000</f>
        <v>1.511384026</v>
      </c>
      <c r="AE41" s="178">
        <f t="shared" si="31"/>
        <v>4.057681859</v>
      </c>
      <c r="AF41" s="180">
        <f t="shared" si="31"/>
        <v>7.582536806</v>
      </c>
      <c r="AG41" s="161">
        <f>ROUND(10000*(C41*M41*gasPricePerkWh+F41*P41*oilPricePerkWh+I41*S41*OffPeakTariff),-3)</f>
        <v>323397000</v>
      </c>
      <c r="AH41" s="633" t="str">
        <f>'Smart thermostats &amp; compensn'!T47</f>
        <v>-</v>
      </c>
      <c r="AI41" s="633" t="s">
        <v>85</v>
      </c>
      <c r="AJ41" s="184" t="s">
        <v>86</v>
      </c>
      <c r="AL41" s="158"/>
    </row>
    <row r="42">
      <c r="A42" s="759" t="s">
        <v>260</v>
      </c>
      <c r="B42" s="113">
        <f>ROUND('Smart thermostats &amp; compensn'!B48,-1)</f>
        <v>220</v>
      </c>
      <c r="C42" s="115">
        <f>ROUND('Smart thermostats &amp; compensn'!C48,-1)</f>
        <v>480</v>
      </c>
      <c r="D42" s="117">
        <f>ROUND('Smart thermostats &amp; compensn'!D48,-1)</f>
        <v>740</v>
      </c>
      <c r="E42" s="113">
        <f>ROUND('Smart thermostats &amp; compensn'!E48,-1)</f>
        <v>400</v>
      </c>
      <c r="F42" s="115">
        <f>ROUND('Smart thermostats &amp; compensn'!F48,-1)</f>
        <v>870</v>
      </c>
      <c r="G42" s="117">
        <f>ROUND('Smart thermostats &amp; compensn'!G48,-1)</f>
        <v>1340</v>
      </c>
      <c r="H42" s="113">
        <f>ROUND('Smart thermostats &amp; compensn'!H48,-1)</f>
        <v>0</v>
      </c>
      <c r="I42" s="115">
        <f>ROUND('Smart thermostats &amp; compensn'!I48,-1)</f>
        <v>0</v>
      </c>
      <c r="J42" s="117">
        <f>ROUND('Smart thermostats &amp; compensn'!J48,-1)</f>
        <v>0</v>
      </c>
      <c r="K42" s="127">
        <f>C42/MeanDomesticGasBill</f>
        <v>0.04860180533</v>
      </c>
      <c r="L42" s="602">
        <f>'Smart thermostats &amp; compensn'!K48/1000</f>
        <v>15.11384026</v>
      </c>
      <c r="M42" s="603">
        <f>'Smart thermostats &amp; compensn'!L48/1000</f>
        <v>18.44400845</v>
      </c>
      <c r="N42" s="605">
        <f>'Smart thermostats &amp; compensn'!M48/1000</f>
        <v>20.49334272</v>
      </c>
      <c r="O42" s="602">
        <f>'Smart thermostats &amp; compensn'!N48/1000</f>
        <v>0</v>
      </c>
      <c r="P42" s="603">
        <f>'Smart thermostats &amp; compensn'!O48/1000</f>
        <v>0</v>
      </c>
      <c r="Q42" s="605">
        <f>'Smart thermostats &amp; compensn'!P48/1000</f>
        <v>0</v>
      </c>
      <c r="R42" s="602">
        <f>'Smart thermostats &amp; compensn'!Q48/1000</f>
        <v>0</v>
      </c>
      <c r="S42" s="603">
        <f>'Smart thermostats &amp; compensn'!R48/1000</f>
        <v>0</v>
      </c>
      <c r="T42" s="605">
        <f>'Smart thermostats &amp; compensn'!S48/1000</f>
        <v>0</v>
      </c>
      <c r="U42" s="412">
        <f>(L42+O42+R42)/numberDwellingsUK*1000000</f>
        <v>0.4930816545</v>
      </c>
      <c r="V42" s="151">
        <f>(M42+P42+S42)/numberDwellingsUK*1000000</f>
        <v>0.6017267648</v>
      </c>
      <c r="W42" s="156">
        <f>(N42+Q42+T42)/numberDwellingsUK*1000000</f>
        <v>0.6685852942</v>
      </c>
      <c r="X42" s="161">
        <f>(B42*gasPricePerkWh*L42+E42*oilPriceP*O42+H42*OffPeakTariff*R42)/100/SUM(L42,O42,R42)</f>
        <v>17.534</v>
      </c>
      <c r="Y42" s="165">
        <f>(C42*gasPricePerkWh*M42+F42*oilPriceP*P42+I42*OffPeakTariff*S42)/100/SUM(M42,P42,S42)</f>
        <v>38.256</v>
      </c>
      <c r="Z42" s="168">
        <f>(D42*gasPricePerkWh*N42+G42*oilPriceP*Q42+J42*OffPeakTariff*T42)/100/SUM(N42,Q42,T42)</f>
        <v>58.978</v>
      </c>
      <c r="AA42" s="171">
        <f>(B42*L42*carbonGasPerkWh+E42*O42*carbonOilPerkWh + H42*R42*carbonElectricityPerkWh)</f>
        <v>608.4832087</v>
      </c>
      <c r="AB42" s="173">
        <f>(C42*M42*carbonGasPerkWh+F42*P42*carbonOilPerkWh + I42*S42*carbonElectricityPerkWh)</f>
        <v>1620.121702</v>
      </c>
      <c r="AC42" s="173">
        <f>(D42*N42*carbonGasPerkWh+G42*Q42*carbonOilPerkWh + J42*T42*carbonElectricityPerkWh)</f>
        <v>2775.208471</v>
      </c>
      <c r="AD42" s="177">
        <f t="shared" ref="AD42:AF42" si="32">(B42*L42+E42*O42+H42*R42)/1000</f>
        <v>3.325044856</v>
      </c>
      <c r="AE42" s="178">
        <f t="shared" si="32"/>
        <v>8.853124055</v>
      </c>
      <c r="AF42" s="180">
        <f t="shared" si="32"/>
        <v>15.16507361</v>
      </c>
      <c r="AG42" s="161">
        <f>ROUND(10000*(C42*M42*gasPricePerkWh+F42*P42*oilPricePerkWh+I42*S42*OffPeakTariff),-3)</f>
        <v>705594000</v>
      </c>
      <c r="AH42" s="633" t="str">
        <f>'Smart thermostats &amp; compensn'!T48</f>
        <v>low</v>
      </c>
      <c r="AI42" s="633" t="s">
        <v>85</v>
      </c>
      <c r="AJ42" s="184" t="s">
        <v>86</v>
      </c>
      <c r="AL42" s="158"/>
    </row>
    <row r="43" ht="47.25" customHeight="1">
      <c r="A43" s="90" t="str">
        <f>TRVs!A39</f>
        <v>Starting from all rooms at the same temperature, adjust TRVs to 3°C cooler outside the living room</v>
      </c>
      <c r="B43" s="113">
        <f>ROUND(TRVs!B39,-1)</f>
        <v>690</v>
      </c>
      <c r="C43" s="115">
        <f>ROUND(TRVs!C39,-1)</f>
        <v>1010</v>
      </c>
      <c r="D43" s="117">
        <f>ROUND(TRVs!D39,-1)</f>
        <v>1330</v>
      </c>
      <c r="E43" s="113">
        <f>ROUND(TRVs!E39,-1)</f>
        <v>1160</v>
      </c>
      <c r="F43" s="115">
        <f>ROUND(TRVs!F39,-1)</f>
        <v>1700</v>
      </c>
      <c r="G43" s="117">
        <f>ROUND(TRVs!G39,-1)</f>
        <v>2240</v>
      </c>
      <c r="H43" s="113">
        <f>ROUND(TRVs!H39,-1)</f>
        <v>0</v>
      </c>
      <c r="I43" s="115">
        <f>ROUND(TRVs!I39,-1)</f>
        <v>0</v>
      </c>
      <c r="J43" s="117">
        <f>ROUND(TRVs!J39,-1)</f>
        <v>0</v>
      </c>
      <c r="K43" s="396">
        <f>C43/MeanDomesticGasBill</f>
        <v>0.1022662987</v>
      </c>
      <c r="L43" s="760">
        <f>TRVs!K39/1000</f>
        <v>3.074001408</v>
      </c>
      <c r="M43" s="761">
        <f>TRVs!L39/1000</f>
        <v>3.586334976</v>
      </c>
      <c r="N43" s="762">
        <f>TRVs!M39/1000</f>
        <v>4.098668544</v>
      </c>
      <c r="O43" s="760">
        <f>TRVs!N39/1000</f>
        <v>0.2619352</v>
      </c>
      <c r="P43" s="761">
        <f>TRVs!O39/1000</f>
        <v>0.2291933</v>
      </c>
      <c r="Q43" s="762">
        <f>TRVs!P39/1000</f>
        <v>0.1964514</v>
      </c>
      <c r="R43" s="760">
        <f>TRVs!Q39/1000</f>
        <v>0</v>
      </c>
      <c r="S43" s="761">
        <f>TRVs!R39/1000</f>
        <v>0</v>
      </c>
      <c r="T43" s="762">
        <f>TRVs!S39/1000</f>
        <v>0</v>
      </c>
      <c r="U43" s="412">
        <f>(L43+O43+R43)/numberDwellingsUK*1000000</f>
        <v>0.1088333021</v>
      </c>
      <c r="V43" s="151">
        <f>(M43+P43+S43)/numberDwellingsUK*1000000</f>
        <v>0.1244797459</v>
      </c>
      <c r="W43" s="156">
        <f>(N43+Q43+T43)/numberDwellingsUK*1000000</f>
        <v>0.1401261898</v>
      </c>
      <c r="X43" s="161">
        <f>(B43*gasPricePerkWh*L43+E43*oilPriceP*O43+H43*OffPeakTariff*R43)/100/SUM(L43,O43,R43)</f>
        <v>59.47521531</v>
      </c>
      <c r="Y43" s="165">
        <f>(C43*gasPricePerkWh*M43+F43*oilPriceP*P43+I43*OffPeakTariff*S43)/100/SUM(M43,P43,S43)</f>
        <v>85.52799489</v>
      </c>
      <c r="Z43" s="168">
        <f>(D43*gasPricePerkWh*N43+G43*oilPriceP*Q43+J43*OffPeakTariff*T43)/100/SUM(N43,Q43,T43)</f>
        <v>111.0516094</v>
      </c>
      <c r="AA43" s="171">
        <f>(B43*L43*carbonGasPerkWh+E43*O43*carbonOilPerkWh + H43*R43*carbonElectricityPerkWh)</f>
        <v>470.1922624</v>
      </c>
      <c r="AB43" s="173">
        <f>(C43*M43*carbonGasPerkWh+F43*P43*carbonOilPerkWh + I43*S43*carbonElectricityPerkWh)</f>
        <v>768.0620183</v>
      </c>
      <c r="AC43" s="173">
        <f>(D43*N43*carbonGasPerkWh+G43*Q43*carbonOilPerkWh + J43*T43*carbonElectricityPerkWh)</f>
        <v>1116.388744</v>
      </c>
      <c r="AD43" s="177">
        <f t="shared" ref="AD43:AF43" si="33">(B43*L43+E43*O43+H43*R43)/1000</f>
        <v>2.424905804</v>
      </c>
      <c r="AE43" s="178">
        <f t="shared" si="33"/>
        <v>4.011826936</v>
      </c>
      <c r="AF43" s="180">
        <f t="shared" si="33"/>
        <v>5.8912803</v>
      </c>
      <c r="AG43" s="161">
        <f>ROUND(10000*(C43*M43*gasPricePerkWh+F43*P43*oilPricePerkWh+I43*S43*OffPeakTariff),-3)</f>
        <v>326334000</v>
      </c>
      <c r="AH43" s="746" t="str">
        <f>TRVs!T39</f>
        <v>-</v>
      </c>
      <c r="AI43" s="746" t="s">
        <v>168</v>
      </c>
      <c r="AJ43" s="184" t="s">
        <v>86</v>
      </c>
      <c r="AL43" s="185"/>
    </row>
    <row r="44" ht="36.0" customHeight="1">
      <c r="A44" s="90" t="str">
        <f>TRVs!A40</f>
        <v>Readjusting existing TRVs outside the living room to 1.5°C cooler than before</v>
      </c>
      <c r="B44" s="403">
        <f>ROUND(TRVs!B40,-1)</f>
        <v>0</v>
      </c>
      <c r="C44" s="405">
        <f>ROUND(TRVs!C40,-1)</f>
        <v>510</v>
      </c>
      <c r="D44" s="572">
        <f>ROUND(TRVs!D40,-1)</f>
        <v>1010</v>
      </c>
      <c r="E44" s="403">
        <f>ROUND(TRVs!E40,-1)</f>
        <v>0</v>
      </c>
      <c r="F44" s="405">
        <f>ROUND(TRVs!F40,-1)</f>
        <v>850</v>
      </c>
      <c r="G44" s="572">
        <f>ROUND(TRVs!G40,-1)</f>
        <v>1700</v>
      </c>
      <c r="H44" s="403">
        <f>ROUND(TRVs!H40,-1)</f>
        <v>0</v>
      </c>
      <c r="I44" s="405">
        <f>ROUND(TRVs!I40,-1)</f>
        <v>0</v>
      </c>
      <c r="J44" s="572">
        <f>ROUND(TRVs!J40,-1)</f>
        <v>0</v>
      </c>
      <c r="K44" s="776">
        <f>C44/MeanDomesticGasBill</f>
        <v>0.05163941816</v>
      </c>
      <c r="L44" s="778">
        <f>TRVs!K40/1000</f>
        <v>21.51800986</v>
      </c>
      <c r="M44" s="780">
        <f>TRVs!L40/1000</f>
        <v>22.03034342</v>
      </c>
      <c r="N44" s="781">
        <f>TRVs!M40/1000</f>
        <v>22.54267699</v>
      </c>
      <c r="O44" s="778">
        <f>TRVs!N40/1000</f>
        <v>1.3751598</v>
      </c>
      <c r="P44" s="780">
        <f>TRVs!O40/1000</f>
        <v>1.4079017</v>
      </c>
      <c r="Q44" s="781">
        <f>TRVs!P40/1000</f>
        <v>1.4406436</v>
      </c>
      <c r="R44" s="778">
        <f>TRVs!Q40/1000</f>
        <v>0</v>
      </c>
      <c r="S44" s="780">
        <f>TRVs!R40/1000</f>
        <v>0</v>
      </c>
      <c r="T44" s="781">
        <f>TRVs!S40/1000</f>
        <v>0</v>
      </c>
      <c r="U44" s="707">
        <f>(L44+O44+R44)/numberDwellingsUK*1000000</f>
        <v>0.7468784755</v>
      </c>
      <c r="V44" s="708">
        <f>(M44+P44+S44)/numberDwellingsUK*1000000</f>
        <v>0.7646612964</v>
      </c>
      <c r="W44" s="709">
        <f>(N44+Q44+T44)/numberDwellingsUK*1000000</f>
        <v>0.7824441172</v>
      </c>
      <c r="X44" s="785">
        <f>(B44*gasPricePerkWh*L44+E44*oilPriceP*O44+H44*OffPeakTariff*R44)/100/SUM(L44,O44,R44)</f>
        <v>0</v>
      </c>
      <c r="Y44" s="786">
        <f>(C44*gasPricePerkWh*M44+F44*oilPriceP*P44+I44*OffPeakTariff*S44)/100/SUM(M44,P44,S44)</f>
        <v>43.13856012</v>
      </c>
      <c r="Z44" s="787">
        <f>(D44*gasPricePerkWh*N44+G44*oilPriceP*Q44+J44*OffPeakTariff*T44)/100/SUM(N44,Q44,T44)</f>
        <v>85.52799489</v>
      </c>
      <c r="AA44" s="788">
        <f>(B44*L44*carbonGasPerkWh+E44*O44*carbonOilPerkWh + H44*R44*carbonElectricityPerkWh)</f>
        <v>0</v>
      </c>
      <c r="AB44" s="789">
        <f>(C44*M44*carbonGasPerkWh+F44*P44*carbonOilPerkWh + I44*S44*carbonElectricityPerkWh)</f>
        <v>2379.205392</v>
      </c>
      <c r="AC44" s="789">
        <f>(D44*N44*carbonGasPerkWh+G44*Q44*carbonOilPerkWh + J44*T44*carbonElectricityPerkWh)</f>
        <v>4827.818401</v>
      </c>
      <c r="AD44" s="177">
        <f t="shared" ref="AD44:AF44" si="34">(B44*L44+E44*O44+H44*R44)/1000</f>
        <v>0</v>
      </c>
      <c r="AE44" s="178">
        <f t="shared" si="34"/>
        <v>12.43219159</v>
      </c>
      <c r="AF44" s="180">
        <f t="shared" si="34"/>
        <v>25.21719788</v>
      </c>
      <c r="AG44" s="790">
        <f>ROUND(10000*(C44*M44*gasPricePerkWh+F44*P44*oilPricePerkWh+I44*S44*OffPeakTariff),-3)</f>
        <v>1011092000</v>
      </c>
      <c r="AH44" s="791" t="str">
        <f>TRVs!T40</f>
        <v>-</v>
      </c>
      <c r="AI44" s="791" t="s">
        <v>168</v>
      </c>
      <c r="AJ44" s="792" t="s">
        <v>86</v>
      </c>
      <c r="AL44" s="185"/>
    </row>
    <row r="45">
      <c r="A45" s="793" t="s">
        <v>578</v>
      </c>
      <c r="B45" s="27"/>
      <c r="C45" s="27"/>
      <c r="D45" s="27"/>
      <c r="E45" s="27"/>
      <c r="F45" s="27"/>
      <c r="G45" s="27"/>
      <c r="H45" s="27"/>
      <c r="I45" s="27"/>
      <c r="J45" s="27"/>
      <c r="K45" s="27"/>
      <c r="L45" s="27"/>
      <c r="M45" s="27"/>
      <c r="N45" s="27"/>
      <c r="O45" s="27"/>
      <c r="P45" s="27"/>
      <c r="Q45" s="27"/>
      <c r="R45" s="27"/>
      <c r="S45" s="27"/>
      <c r="T45" s="27"/>
      <c r="AD45" s="145"/>
      <c r="AE45" s="145"/>
      <c r="AF45" s="145"/>
    </row>
    <row r="46" ht="32.25" customHeight="1">
      <c r="A46" s="794" t="s">
        <v>579</v>
      </c>
      <c r="B46" s="794"/>
      <c r="C46" s="794"/>
      <c r="D46" s="794"/>
      <c r="E46" s="794"/>
      <c r="F46" s="794"/>
      <c r="G46" s="794"/>
      <c r="H46" s="794"/>
      <c r="I46" s="794"/>
      <c r="J46" s="794"/>
      <c r="K46" s="794"/>
      <c r="L46" s="794"/>
      <c r="M46" s="98"/>
      <c r="N46" s="794"/>
      <c r="O46" s="794"/>
      <c r="P46" s="794"/>
      <c r="Q46" s="794">
        <v>395.0</v>
      </c>
      <c r="R46" s="794" t="s">
        <v>580</v>
      </c>
    </row>
    <row r="48">
      <c r="A48" s="98" t="s">
        <v>581</v>
      </c>
    </row>
    <row r="49">
      <c r="A49" s="795" t="s">
        <v>582</v>
      </c>
      <c r="B49" s="37"/>
      <c r="C49" s="37"/>
      <c r="D49" s="37"/>
      <c r="E49" s="37"/>
      <c r="F49" s="37"/>
      <c r="G49" s="37"/>
      <c r="H49" s="37"/>
      <c r="I49" s="37"/>
      <c r="J49" s="37"/>
      <c r="K49" s="37"/>
      <c r="L49" s="37"/>
      <c r="M49" s="37"/>
      <c r="N49" s="37"/>
      <c r="O49" s="37"/>
      <c r="P49" s="37"/>
      <c r="Q49" s="37"/>
      <c r="R49" s="37"/>
      <c r="S49" s="37"/>
      <c r="T49" s="37"/>
      <c r="U49" s="37"/>
      <c r="V49" s="37"/>
      <c r="W49" s="37"/>
      <c r="X49" s="37"/>
      <c r="Y49" s="37"/>
      <c r="Z49" s="46"/>
    </row>
  </sheetData>
  <mergeCells count="9">
    <mergeCell ref="B26:J26"/>
    <mergeCell ref="A49:Z49"/>
    <mergeCell ref="B2:J2"/>
    <mergeCell ref="L2:T2"/>
    <mergeCell ref="U2:W2"/>
    <mergeCell ref="X2:Z2"/>
    <mergeCell ref="AA2:AC2"/>
    <mergeCell ref="AD2:AF2"/>
    <mergeCell ref="U26:AH26"/>
  </mergeCells>
  <printOptions/>
  <pageMargins bottom="0.75" footer="0.0" header="0.0" left="0.7" right="0.7" top="0.75"/>
  <pageSetup paperSize="9"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68.78"/>
    <col customWidth="1" min="2" max="2" width="15.44"/>
    <col customWidth="1" min="3" max="3" width="13.44"/>
    <col customWidth="1" min="4" max="4" width="12.78"/>
    <col customWidth="1" min="5" max="7" width="11.0"/>
    <col customWidth="1" min="8" max="8" width="4.22"/>
    <col customWidth="1" min="9" max="10" width="11.0"/>
    <col customWidth="1" min="11" max="11" width="16.44"/>
    <col customWidth="1" min="12" max="19" width="11.0"/>
    <col customWidth="1" min="20" max="20" width="20.33"/>
    <col customWidth="1" min="21" max="34" width="11.0"/>
  </cols>
  <sheetData>
    <row r="1">
      <c r="A1" s="116" t="s">
        <v>36</v>
      </c>
      <c r="B1" s="2"/>
      <c r="C1" s="2"/>
      <c r="D1" s="2"/>
      <c r="E1" s="2"/>
      <c r="F1" s="2"/>
      <c r="G1" s="2"/>
      <c r="H1" s="2"/>
    </row>
    <row r="2">
      <c r="A2" s="116" t="s">
        <v>37</v>
      </c>
      <c r="B2" s="2"/>
      <c r="C2" s="2"/>
      <c r="D2" s="2"/>
      <c r="E2" s="2"/>
      <c r="F2" s="2"/>
      <c r="G2" s="2"/>
      <c r="H2" s="2"/>
    </row>
    <row r="3">
      <c r="A3" s="118" t="s">
        <v>38</v>
      </c>
      <c r="E3" s="119" t="s">
        <v>39</v>
      </c>
      <c r="F3" s="120" t="s">
        <v>40</v>
      </c>
      <c r="G3" s="121" t="s">
        <v>41</v>
      </c>
      <c r="H3" s="46"/>
    </row>
    <row r="4" ht="84.75" customHeight="1">
      <c r="A4" s="118" t="s">
        <v>42</v>
      </c>
      <c r="E4" s="123"/>
      <c r="F4" s="120" t="s">
        <v>43</v>
      </c>
      <c r="G4" s="121" t="s">
        <v>44</v>
      </c>
      <c r="H4" s="46"/>
    </row>
    <row r="5" ht="133.5" customHeight="1">
      <c r="A5" s="118" t="s">
        <v>45</v>
      </c>
      <c r="E5" s="124"/>
      <c r="F5" s="123" t="s">
        <v>46</v>
      </c>
      <c r="G5" s="121" t="s">
        <v>47</v>
      </c>
      <c r="H5" s="46"/>
    </row>
    <row r="6" ht="51.0" customHeight="1">
      <c r="A6" s="118" t="s">
        <v>48</v>
      </c>
      <c r="E6" s="124"/>
      <c r="F6" s="120" t="s">
        <v>49</v>
      </c>
      <c r="G6" s="126" t="s">
        <v>50</v>
      </c>
      <c r="H6" s="46"/>
    </row>
    <row r="7" ht="201.0" customHeight="1">
      <c r="A7" s="118" t="s">
        <v>51</v>
      </c>
    </row>
    <row r="8">
      <c r="A8" s="129" t="s">
        <v>52</v>
      </c>
      <c r="O8" s="98" t="s">
        <v>53</v>
      </c>
      <c r="Y8" s="98" t="s">
        <v>54</v>
      </c>
    </row>
    <row r="9">
      <c r="A9" s="129" t="s">
        <v>55</v>
      </c>
    </row>
    <row r="10">
      <c r="A10" s="129" t="s">
        <v>56</v>
      </c>
    </row>
    <row r="11">
      <c r="A11" s="131" t="s">
        <v>57</v>
      </c>
      <c r="B11" s="132"/>
      <c r="C11" s="132"/>
      <c r="D11" s="132"/>
      <c r="E11" s="132"/>
      <c r="F11" s="132"/>
      <c r="G11" s="132"/>
      <c r="H11" s="132"/>
      <c r="I11" s="132"/>
      <c r="J11" s="135"/>
    </row>
    <row r="12">
      <c r="A12" s="136" t="s">
        <v>58</v>
      </c>
      <c r="B12" s="138" t="s">
        <v>59</v>
      </c>
      <c r="C12" s="139" t="s">
        <v>60</v>
      </c>
      <c r="D12" s="138" t="s">
        <v>61</v>
      </c>
      <c r="E12" s="138" t="s">
        <v>62</v>
      </c>
      <c r="F12" s="139" t="s">
        <v>63</v>
      </c>
      <c r="G12" s="138" t="s">
        <v>64</v>
      </c>
      <c r="H12" s="138"/>
      <c r="I12" s="138"/>
      <c r="J12" s="142" t="s">
        <v>64</v>
      </c>
    </row>
    <row r="13">
      <c r="A13" s="143" t="s">
        <v>67</v>
      </c>
      <c r="B13" s="144" t="s">
        <v>68</v>
      </c>
      <c r="C13" s="145"/>
      <c r="D13" s="146" t="s">
        <v>69</v>
      </c>
      <c r="E13" s="147"/>
      <c r="F13" s="145"/>
      <c r="G13" s="147" t="s">
        <v>70</v>
      </c>
      <c r="H13" s="147" t="s">
        <v>71</v>
      </c>
      <c r="I13" s="146" t="s">
        <v>72</v>
      </c>
      <c r="J13" s="148" t="s">
        <v>73</v>
      </c>
      <c r="K13" s="149" t="s">
        <v>74</v>
      </c>
      <c r="L13" s="149" t="s">
        <v>75</v>
      </c>
      <c r="M13" s="149" t="s">
        <v>46</v>
      </c>
      <c r="N13" s="150" t="s">
        <v>59</v>
      </c>
      <c r="O13" s="150" t="s">
        <v>61</v>
      </c>
      <c r="P13" s="150" t="s">
        <v>76</v>
      </c>
      <c r="Q13" s="150" t="s">
        <v>77</v>
      </c>
    </row>
    <row r="14">
      <c r="A14" s="143" t="s">
        <v>78</v>
      </c>
      <c r="B14" s="152"/>
      <c r="D14" s="153"/>
      <c r="E14" s="27"/>
      <c r="G14" s="154">
        <v>0.84</v>
      </c>
      <c r="H14" s="154">
        <v>0.74</v>
      </c>
      <c r="I14" s="155">
        <v>0.2</v>
      </c>
      <c r="J14" s="157">
        <f>(G14-H14*I14)/(1-I14)</f>
        <v>0.865</v>
      </c>
      <c r="K14" s="158"/>
      <c r="L14" s="158"/>
      <c r="M14" s="158"/>
      <c r="N14" s="150"/>
      <c r="O14" s="150"/>
      <c r="P14" s="150"/>
    </row>
    <row r="15">
      <c r="A15" s="159" t="s">
        <v>79</v>
      </c>
      <c r="B15" s="160">
        <v>0.89</v>
      </c>
      <c r="C15" s="162">
        <v>0.94</v>
      </c>
      <c r="J15" s="163"/>
      <c r="K15" s="158">
        <v>80.0</v>
      </c>
      <c r="L15" s="158">
        <v>60.0</v>
      </c>
      <c r="M15" s="158">
        <v>70.0</v>
      </c>
      <c r="N15" s="164">
        <f t="shared" ref="N15:N19" si="1">B15</f>
        <v>0.89</v>
      </c>
      <c r="O15" s="164"/>
      <c r="P15" s="164"/>
    </row>
    <row r="16">
      <c r="A16" s="166" t="s">
        <v>80</v>
      </c>
      <c r="B16" s="167">
        <f t="shared" ref="B16:B17" si="3">B$15+(B$18-B$15)*(M16-M$15)/(M$18-M$15)</f>
        <v>0.9015984043</v>
      </c>
      <c r="D16" s="162">
        <v>0.89</v>
      </c>
      <c r="E16" s="162">
        <v>0.87</v>
      </c>
      <c r="F16" s="154">
        <v>0.83</v>
      </c>
      <c r="G16" s="169"/>
      <c r="H16" s="169"/>
      <c r="I16" s="169"/>
      <c r="J16" s="170"/>
      <c r="K16" s="158">
        <v>75.0</v>
      </c>
      <c r="L16" s="158">
        <v>55.0</v>
      </c>
      <c r="M16" s="158">
        <v>65.0</v>
      </c>
      <c r="N16" s="164">
        <f t="shared" si="1"/>
        <v>0.9015984043</v>
      </c>
      <c r="O16" s="164">
        <f t="shared" ref="O16:Q16" si="2">D16</f>
        <v>0.89</v>
      </c>
      <c r="P16" s="164">
        <f t="shared" si="2"/>
        <v>0.87</v>
      </c>
      <c r="Q16" s="158">
        <f t="shared" si="2"/>
        <v>0.83</v>
      </c>
    </row>
    <row r="17">
      <c r="A17" s="172" t="s">
        <v>81</v>
      </c>
      <c r="B17" s="167">
        <f t="shared" si="3"/>
        <v>0.9294345745</v>
      </c>
      <c r="D17" s="162">
        <v>0.92</v>
      </c>
      <c r="E17" s="162">
        <v>0.92</v>
      </c>
      <c r="F17" s="154">
        <v>0.88</v>
      </c>
      <c r="G17" s="27"/>
      <c r="H17" s="27"/>
      <c r="I17" s="27"/>
      <c r="J17" s="170"/>
      <c r="K17" s="158">
        <v>60.0</v>
      </c>
      <c r="L17" s="158">
        <v>45.0</v>
      </c>
      <c r="M17" s="158">
        <v>53.0</v>
      </c>
      <c r="N17" s="164">
        <f t="shared" si="1"/>
        <v>0.9294345745</v>
      </c>
      <c r="O17" s="164">
        <f t="shared" ref="O17:Q17" si="4">D17</f>
        <v>0.92</v>
      </c>
      <c r="P17" s="164">
        <f t="shared" si="4"/>
        <v>0.92</v>
      </c>
      <c r="Q17" s="158">
        <f t="shared" si="4"/>
        <v>0.88</v>
      </c>
    </row>
    <row r="18">
      <c r="A18" s="159" t="s">
        <v>82</v>
      </c>
      <c r="B18" s="167">
        <f>C18/(C15/B15)</f>
        <v>0.936393617</v>
      </c>
      <c r="C18" s="162">
        <v>0.989</v>
      </c>
      <c r="D18" s="176"/>
      <c r="E18" s="176"/>
      <c r="F18" s="179">
        <f>AVERAGE(F17,F19)</f>
        <v>0.885</v>
      </c>
      <c r="G18" s="27"/>
      <c r="H18" s="27"/>
      <c r="I18" s="27"/>
      <c r="J18" s="170"/>
      <c r="K18" s="158">
        <v>57.0</v>
      </c>
      <c r="L18" s="158">
        <v>43.0</v>
      </c>
      <c r="M18" s="158">
        <v>50.0</v>
      </c>
      <c r="N18" s="164">
        <f t="shared" si="1"/>
        <v>0.936393617</v>
      </c>
      <c r="O18" s="164">
        <f t="shared" ref="O18:P18" si="5">O17+(O19-O17)*(($K18-$K17)/($K19-$K17))</f>
        <v>0.926</v>
      </c>
      <c r="P18" s="164">
        <f t="shared" si="5"/>
        <v>0.929</v>
      </c>
      <c r="Q18" s="183">
        <f>F18</f>
        <v>0.885</v>
      </c>
    </row>
    <row r="19">
      <c r="A19" s="172" t="s">
        <v>84</v>
      </c>
      <c r="B19" s="167">
        <f>B$15+(B$18-B$15)*(M19-M$15)/(M$18-M$15)</f>
        <v>0.9410329787</v>
      </c>
      <c r="D19" s="162">
        <v>0.93</v>
      </c>
      <c r="E19" s="162">
        <v>0.935</v>
      </c>
      <c r="F19" s="188">
        <v>0.89</v>
      </c>
      <c r="G19" s="27"/>
      <c r="H19" s="27"/>
      <c r="I19" s="27"/>
      <c r="J19" s="170"/>
      <c r="K19" s="158">
        <v>55.0</v>
      </c>
      <c r="L19" s="158">
        <v>40.0</v>
      </c>
      <c r="M19" s="158">
        <v>48.0</v>
      </c>
      <c r="N19" s="164">
        <f t="shared" si="1"/>
        <v>0.9410329787</v>
      </c>
      <c r="O19" s="164">
        <f t="shared" ref="O19:Q19" si="6">D19</f>
        <v>0.93</v>
      </c>
      <c r="P19" s="164">
        <f t="shared" si="6"/>
        <v>0.935</v>
      </c>
      <c r="Q19" s="190">
        <f t="shared" si="6"/>
        <v>0.89</v>
      </c>
    </row>
    <row r="20">
      <c r="A20" s="191"/>
      <c r="B20" s="192"/>
      <c r="C20" s="194"/>
      <c r="D20" s="194"/>
      <c r="E20" s="194"/>
      <c r="F20" s="194"/>
      <c r="G20" s="195"/>
      <c r="H20" s="195"/>
      <c r="I20" s="195"/>
      <c r="J20" s="196"/>
    </row>
    <row r="21">
      <c r="A21" s="197"/>
      <c r="B21" s="198"/>
      <c r="C21" s="198"/>
      <c r="D21" s="198"/>
    </row>
    <row r="22">
      <c r="A22" s="199" t="s">
        <v>87</v>
      </c>
    </row>
    <row r="23">
      <c r="A23" s="201" t="s">
        <v>88</v>
      </c>
      <c r="B23" s="202" t="s">
        <v>59</v>
      </c>
      <c r="C23" s="203" t="s">
        <v>61</v>
      </c>
      <c r="D23" s="203" t="s">
        <v>62</v>
      </c>
      <c r="E23" s="204" t="s">
        <v>77</v>
      </c>
    </row>
    <row r="24">
      <c r="A24" s="205" t="s">
        <v>89</v>
      </c>
      <c r="B24" s="207">
        <f>1-(B16/B17)</f>
        <v>0.0299495747</v>
      </c>
      <c r="C24" s="208">
        <f t="shared" ref="C24:E24" si="7">1-(D16/D17)</f>
        <v>0.03260869565</v>
      </c>
      <c r="D24" s="208">
        <f t="shared" si="7"/>
        <v>0.05434782609</v>
      </c>
      <c r="E24" s="211">
        <f t="shared" si="7"/>
        <v>0.05681818182</v>
      </c>
    </row>
    <row r="25">
      <c r="A25" s="212" t="s">
        <v>90</v>
      </c>
      <c r="B25" s="216">
        <f>1-(B16/B19)</f>
        <v>0.04190562431</v>
      </c>
      <c r="C25" s="217">
        <f t="shared" ref="C25:E25" si="8">1-(D16/D19)</f>
        <v>0.04301075269</v>
      </c>
      <c r="D25" s="217">
        <f t="shared" si="8"/>
        <v>0.06951871658</v>
      </c>
      <c r="E25" s="220">
        <f t="shared" si="8"/>
        <v>0.06741573034</v>
      </c>
    </row>
    <row r="26">
      <c r="A26" s="199" t="s">
        <v>92</v>
      </c>
    </row>
    <row r="27">
      <c r="A27" s="118" t="s">
        <v>94</v>
      </c>
    </row>
    <row r="28">
      <c r="A28" s="118" t="s">
        <v>95</v>
      </c>
    </row>
    <row r="29">
      <c r="A29" s="118"/>
    </row>
    <row r="30">
      <c r="A30" s="227" t="s">
        <v>98</v>
      </c>
      <c r="B30" s="229"/>
      <c r="C30" s="230"/>
      <c r="D30" s="230"/>
      <c r="E30" s="232"/>
    </row>
    <row r="31">
      <c r="A31" s="234" t="s">
        <v>100</v>
      </c>
      <c r="B31" s="234" t="s">
        <v>101</v>
      </c>
      <c r="C31" s="236" t="s">
        <v>103</v>
      </c>
      <c r="D31" s="236" t="s">
        <v>105</v>
      </c>
      <c r="E31" s="239" t="s">
        <v>106</v>
      </c>
    </row>
    <row r="32">
      <c r="A32" s="240">
        <v>80.0</v>
      </c>
      <c r="B32" s="241">
        <v>47.82</v>
      </c>
      <c r="E32" s="243">
        <v>17.3</v>
      </c>
    </row>
    <row r="33">
      <c r="A33" s="240">
        <v>75.0</v>
      </c>
      <c r="B33" s="241">
        <f>(B32+B34)/2</f>
        <v>46.595</v>
      </c>
      <c r="C33" s="245">
        <f t="shared" ref="C33:C37" si="9">1-B33/B$32</f>
        <v>0.0256168967</v>
      </c>
      <c r="E33" s="243">
        <f>(E32+E34)/2</f>
        <v>17.2</v>
      </c>
    </row>
    <row r="34">
      <c r="A34" s="240">
        <v>70.0</v>
      </c>
      <c r="B34" s="241">
        <v>45.37</v>
      </c>
      <c r="C34" s="245">
        <f t="shared" si="9"/>
        <v>0.05123379339</v>
      </c>
      <c r="D34" s="245">
        <f t="shared" ref="D34:D37" si="10">1-(B34/B$33)</f>
        <v>0.0262903745</v>
      </c>
      <c r="E34" s="243">
        <v>17.1</v>
      </c>
    </row>
    <row r="35">
      <c r="A35" s="240">
        <v>65.0</v>
      </c>
      <c r="B35" s="241">
        <f>(B34+B36)/2</f>
        <v>43.705</v>
      </c>
      <c r="C35" s="245">
        <f t="shared" si="9"/>
        <v>0.08605186115</v>
      </c>
      <c r="D35" s="245">
        <f t="shared" si="10"/>
        <v>0.0620238223</v>
      </c>
      <c r="E35" s="243">
        <f>(E34+E36)/2</f>
        <v>16.95</v>
      </c>
    </row>
    <row r="36">
      <c r="A36" s="240">
        <v>60.0</v>
      </c>
      <c r="B36" s="241">
        <v>42.04</v>
      </c>
      <c r="C36" s="245">
        <f t="shared" si="9"/>
        <v>0.1208699289</v>
      </c>
      <c r="D36" s="245">
        <f t="shared" si="10"/>
        <v>0.09775727009</v>
      </c>
      <c r="E36" s="243">
        <v>16.8</v>
      </c>
    </row>
    <row r="37">
      <c r="A37" s="264">
        <v>55.0</v>
      </c>
      <c r="B37" s="266">
        <v>40.13</v>
      </c>
      <c r="C37" s="267">
        <f t="shared" si="9"/>
        <v>0.160811376</v>
      </c>
      <c r="D37" s="267">
        <f t="shared" si="10"/>
        <v>0.1387487928</v>
      </c>
      <c r="E37" s="269">
        <v>16.6</v>
      </c>
    </row>
    <row r="38">
      <c r="B38" s="270"/>
      <c r="C38" s="245"/>
      <c r="D38" s="245"/>
      <c r="E38" s="270"/>
    </row>
    <row r="39">
      <c r="A39" s="273" t="s">
        <v>127</v>
      </c>
      <c r="B39" s="275"/>
      <c r="C39" s="277"/>
      <c r="D39" s="278"/>
      <c r="E39" s="270"/>
    </row>
    <row r="40">
      <c r="A40" s="279" t="s">
        <v>132</v>
      </c>
      <c r="B40" s="281" t="s">
        <v>136</v>
      </c>
      <c r="C40" s="281" t="s">
        <v>137</v>
      </c>
      <c r="D40" s="283" t="s">
        <v>139</v>
      </c>
      <c r="E40" s="270"/>
    </row>
    <row r="41">
      <c r="A41" s="285" t="s">
        <v>140</v>
      </c>
      <c r="B41" s="286" t="s">
        <v>141</v>
      </c>
      <c r="C41" s="287">
        <v>0.05</v>
      </c>
      <c r="D41" s="289">
        <v>0.039</v>
      </c>
      <c r="E41" s="270"/>
    </row>
    <row r="42">
      <c r="A42" s="285" t="s">
        <v>140</v>
      </c>
      <c r="B42" s="286" t="s">
        <v>144</v>
      </c>
      <c r="C42" s="287">
        <v>0.12</v>
      </c>
      <c r="D42" s="289">
        <v>0.091</v>
      </c>
      <c r="E42" s="270"/>
    </row>
    <row r="43">
      <c r="A43" s="285" t="s">
        <v>140</v>
      </c>
      <c r="B43" s="286" t="s">
        <v>145</v>
      </c>
      <c r="C43" s="287">
        <v>0.16</v>
      </c>
      <c r="D43" s="289">
        <v>0.121</v>
      </c>
      <c r="E43" s="270"/>
    </row>
    <row r="44">
      <c r="A44" s="292" t="s">
        <v>140</v>
      </c>
      <c r="B44" s="293" t="s">
        <v>147</v>
      </c>
      <c r="C44" s="294">
        <v>0.23</v>
      </c>
      <c r="D44" s="295">
        <v>0.174</v>
      </c>
      <c r="E44" s="270"/>
    </row>
    <row r="45">
      <c r="A45" s="197"/>
      <c r="B45" s="198"/>
      <c r="C45" s="198"/>
      <c r="D45" s="198"/>
    </row>
    <row r="46">
      <c r="A46" s="227" t="s">
        <v>150</v>
      </c>
      <c r="B46" s="296" t="s">
        <v>151</v>
      </c>
      <c r="C46" s="296"/>
      <c r="D46" s="296"/>
      <c r="E46" s="297"/>
      <c r="F46" s="297"/>
      <c r="G46" s="297"/>
      <c r="H46" s="298"/>
    </row>
    <row r="47">
      <c r="A47" s="299" t="s">
        <v>152</v>
      </c>
      <c r="B47" s="300" t="s">
        <v>154</v>
      </c>
      <c r="C47" s="301" t="s">
        <v>155</v>
      </c>
      <c r="D47" s="301" t="s">
        <v>156</v>
      </c>
      <c r="E47" s="301" t="s">
        <v>157</v>
      </c>
      <c r="F47" s="301" t="s">
        <v>158</v>
      </c>
      <c r="G47" s="301" t="s">
        <v>159</v>
      </c>
      <c r="H47" s="302" t="s">
        <v>160</v>
      </c>
    </row>
    <row r="48">
      <c r="A48" s="303"/>
      <c r="B48" s="304" t="s">
        <v>161</v>
      </c>
      <c r="C48" s="304"/>
      <c r="D48" s="304"/>
      <c r="E48" s="7"/>
      <c r="F48" s="7"/>
      <c r="G48" s="7"/>
      <c r="H48" s="305"/>
    </row>
    <row r="49">
      <c r="A49" s="306" t="s">
        <v>162</v>
      </c>
      <c r="B49" s="307">
        <v>16.95769826956529</v>
      </c>
      <c r="C49" s="308">
        <v>13.12765965481369</v>
      </c>
      <c r="D49" s="308">
        <v>9.815496694171621</v>
      </c>
      <c r="E49" s="308">
        <v>8.201576121462075</v>
      </c>
      <c r="F49" s="309">
        <f t="shared" ref="F49:G49" si="11">(B49+D49)/2</f>
        <v>13.38659748</v>
      </c>
      <c r="G49" s="310">
        <f t="shared" si="11"/>
        <v>10.66461789</v>
      </c>
      <c r="H49" s="312">
        <f t="shared" ref="H49:H53" si="13">F49*0.66+G49*0.34</f>
        <v>12.46112442</v>
      </c>
    </row>
    <row r="50">
      <c r="A50" s="306" t="s">
        <v>163</v>
      </c>
      <c r="B50" s="313">
        <v>14.0</v>
      </c>
      <c r="C50" s="314">
        <v>16.7</v>
      </c>
      <c r="D50" s="314">
        <v>8.375</v>
      </c>
      <c r="E50" s="314">
        <v>9.725</v>
      </c>
      <c r="F50" s="315">
        <f t="shared" ref="F50:G50" si="12">(B50+D50)/2</f>
        <v>11.1875</v>
      </c>
      <c r="G50" s="316">
        <f t="shared" si="12"/>
        <v>13.2125</v>
      </c>
      <c r="H50" s="317">
        <f t="shared" si="13"/>
        <v>11.876</v>
      </c>
    </row>
    <row r="51">
      <c r="A51" s="306" t="s">
        <v>164</v>
      </c>
      <c r="B51" s="313">
        <v>4.971540919190237</v>
      </c>
      <c r="C51" s="314">
        <v>8.75246332862985</v>
      </c>
      <c r="D51" s="314">
        <v>3.0297835917644895</v>
      </c>
      <c r="E51" s="314">
        <v>5.524808148005429</v>
      </c>
      <c r="F51" s="315">
        <f t="shared" ref="F51:G51" si="14">(B51+D51)/2</f>
        <v>4.000662255</v>
      </c>
      <c r="G51" s="316">
        <f t="shared" si="14"/>
        <v>7.138635738</v>
      </c>
      <c r="H51" s="317">
        <f t="shared" si="13"/>
        <v>5.06757324</v>
      </c>
    </row>
    <row r="52">
      <c r="A52" s="306" t="s">
        <v>165</v>
      </c>
      <c r="B52" s="313">
        <v>18.992865414136432</v>
      </c>
      <c r="C52" s="314">
        <v>21.87656644668577</v>
      </c>
      <c r="D52" s="314">
        <v>10.831448687070079</v>
      </c>
      <c r="E52" s="314">
        <v>13.864637745097063</v>
      </c>
      <c r="F52" s="315">
        <f t="shared" ref="F52:G52" si="15">(B52+D52)/2</f>
        <v>14.91215705</v>
      </c>
      <c r="G52" s="316">
        <f t="shared" si="15"/>
        <v>17.8706021</v>
      </c>
      <c r="H52" s="317">
        <f t="shared" si="13"/>
        <v>15.91802837</v>
      </c>
    </row>
    <row r="53">
      <c r="A53" s="306" t="s">
        <v>166</v>
      </c>
      <c r="B53" s="313">
        <v>13.979897976413602</v>
      </c>
      <c r="C53" s="314">
        <v>5.266516928259378</v>
      </c>
      <c r="D53" s="314">
        <v>9.516111854300116</v>
      </c>
      <c r="E53" s="314">
        <v>4.318645628273562</v>
      </c>
      <c r="F53" s="315">
        <f t="shared" ref="F53:G53" si="16">(B53+D53)/2</f>
        <v>11.74800492</v>
      </c>
      <c r="G53" s="316">
        <f t="shared" si="16"/>
        <v>4.792581278</v>
      </c>
      <c r="H53" s="317">
        <f t="shared" si="13"/>
        <v>9.383160879</v>
      </c>
    </row>
    <row r="54">
      <c r="A54" s="306" t="s">
        <v>167</v>
      </c>
      <c r="B54" s="318"/>
      <c r="C54" s="319"/>
      <c r="D54" s="319"/>
      <c r="E54" s="319"/>
      <c r="F54" s="320"/>
      <c r="G54" s="321"/>
      <c r="H54" s="325">
        <f>AVERAGE(H49:H53)</f>
        <v>10.94117738</v>
      </c>
    </row>
    <row r="55">
      <c r="A55" s="306" t="s">
        <v>171</v>
      </c>
      <c r="B55" s="307">
        <v>20.930581860382972</v>
      </c>
      <c r="C55" s="308">
        <v>18.501787079616008</v>
      </c>
      <c r="D55" s="308">
        <v>14.134328424220563</v>
      </c>
      <c r="E55" s="308">
        <v>13.883802522361648</v>
      </c>
      <c r="F55" s="309">
        <f t="shared" ref="F55:G55" si="17">(B55+D55)/2</f>
        <v>17.53245514</v>
      </c>
      <c r="G55" s="310">
        <f t="shared" si="17"/>
        <v>16.1927948</v>
      </c>
      <c r="H55" s="317">
        <f t="shared" ref="H55:H59" si="19">F55*0.66+G55*0.34</f>
        <v>17.07697063</v>
      </c>
    </row>
    <row r="56">
      <c r="A56" s="306" t="s">
        <v>173</v>
      </c>
      <c r="B56" s="313">
        <v>18.5</v>
      </c>
      <c r="C56" s="314">
        <v>22.049999999999997</v>
      </c>
      <c r="D56" s="314">
        <v>13.149999999999999</v>
      </c>
      <c r="E56" s="314">
        <v>15.525</v>
      </c>
      <c r="F56" s="315">
        <f t="shared" ref="F56:G56" si="18">(B56+D56)/2</f>
        <v>15.825</v>
      </c>
      <c r="G56" s="316">
        <f t="shared" si="18"/>
        <v>18.7875</v>
      </c>
      <c r="H56" s="317">
        <f t="shared" si="19"/>
        <v>16.83225</v>
      </c>
    </row>
    <row r="57">
      <c r="A57" s="306" t="s">
        <v>176</v>
      </c>
      <c r="B57" s="313">
        <v>6.9993939329010475</v>
      </c>
      <c r="C57" s="314">
        <v>11.38362132722339</v>
      </c>
      <c r="D57" s="314">
        <v>5.15087815798492</v>
      </c>
      <c r="E57" s="314">
        <v>8.418179658985357</v>
      </c>
      <c r="F57" s="315">
        <f t="shared" ref="F57:G57" si="20">(B57+D57)/2</f>
        <v>6.075136045</v>
      </c>
      <c r="G57" s="316">
        <f t="shared" si="20"/>
        <v>9.900900493</v>
      </c>
      <c r="H57" s="317">
        <f t="shared" si="19"/>
        <v>7.375895958</v>
      </c>
    </row>
    <row r="58">
      <c r="A58" s="306" t="s">
        <v>179</v>
      </c>
      <c r="B58" s="313">
        <v>23.95267774158463</v>
      </c>
      <c r="C58" s="314">
        <v>28.037040296020336</v>
      </c>
      <c r="D58" s="314">
        <v>16.296147196656527</v>
      </c>
      <c r="E58" s="314">
        <v>20.65715408500465</v>
      </c>
      <c r="F58" s="315">
        <f t="shared" ref="F58:G58" si="21">(B58+D58)/2</f>
        <v>20.12441247</v>
      </c>
      <c r="G58" s="316">
        <f t="shared" si="21"/>
        <v>24.34709719</v>
      </c>
      <c r="H58" s="317">
        <f t="shared" si="19"/>
        <v>21.56012527</v>
      </c>
    </row>
    <row r="59">
      <c r="A59" s="306" t="s">
        <v>180</v>
      </c>
      <c r="B59" s="313">
        <v>20.043042353155528</v>
      </c>
      <c r="C59" s="314">
        <v>9.03255608517521</v>
      </c>
      <c r="D59" s="314">
        <v>15.893528210378477</v>
      </c>
      <c r="E59" s="314">
        <v>8.127617711192348</v>
      </c>
      <c r="F59" s="315">
        <f t="shared" ref="F59:G59" si="22">(B59+D59)/2</f>
        <v>17.96828528</v>
      </c>
      <c r="G59" s="316">
        <f t="shared" si="22"/>
        <v>8.580086898</v>
      </c>
      <c r="H59" s="317">
        <f t="shared" si="19"/>
        <v>14.77629783</v>
      </c>
    </row>
    <row r="60">
      <c r="A60" s="346" t="s">
        <v>181</v>
      </c>
      <c r="B60" s="347"/>
      <c r="C60" s="349"/>
      <c r="D60" s="349"/>
      <c r="E60" s="350"/>
      <c r="F60" s="352"/>
      <c r="G60" s="353"/>
      <c r="H60" s="325">
        <f>AVERAGE(H55:H59)</f>
        <v>15.52430794</v>
      </c>
    </row>
    <row r="61">
      <c r="A61" s="197"/>
      <c r="B61" s="198"/>
      <c r="C61" s="198"/>
      <c r="D61" s="198"/>
    </row>
    <row r="62">
      <c r="A62" s="354"/>
      <c r="B62" s="231"/>
      <c r="C62" s="231"/>
      <c r="D62" s="231"/>
    </row>
    <row r="63">
      <c r="A63" s="355" t="s">
        <v>183</v>
      </c>
      <c r="B63" s="356" t="s">
        <v>5</v>
      </c>
      <c r="C63" s="357" t="s">
        <v>184</v>
      </c>
      <c r="D63" s="358" t="s">
        <v>7</v>
      </c>
    </row>
    <row r="64">
      <c r="A64" s="359" t="s">
        <v>185</v>
      </c>
      <c r="B64" s="207">
        <f t="shared" ref="B64:B65" si="23">MIN(B24:E24)</f>
        <v>0.0299495747</v>
      </c>
      <c r="C64" s="208">
        <f t="shared" ref="C64:C65" si="24">AVERAGE(B24:E24)</f>
        <v>0.04343106956</v>
      </c>
      <c r="D64" s="211">
        <f t="shared" ref="D64:D65" si="25">MAX(B24:E24)</f>
        <v>0.05681818182</v>
      </c>
      <c r="F64" s="98" t="s">
        <v>187</v>
      </c>
    </row>
    <row r="65">
      <c r="A65" s="212" t="s">
        <v>188</v>
      </c>
      <c r="B65" s="216">
        <f t="shared" si="23"/>
        <v>0.04190562431</v>
      </c>
      <c r="C65" s="217">
        <f t="shared" si="24"/>
        <v>0.05546270598</v>
      </c>
      <c r="D65" s="220">
        <f t="shared" si="25"/>
        <v>0.06951871658</v>
      </c>
      <c r="F65" s="98"/>
    </row>
    <row r="66">
      <c r="A66" s="360" t="s">
        <v>190</v>
      </c>
      <c r="B66" s="231">
        <f t="shared" ref="B66:B67" si="26">AVERAGE(B64,C66)</f>
        <v>0.06385342239</v>
      </c>
      <c r="C66" s="231">
        <f t="shared" ref="C66:C67" si="27">D36</f>
        <v>0.09775727009</v>
      </c>
      <c r="D66" s="235">
        <f t="shared" ref="D66:D67" si="28">C66*1.1</f>
        <v>0.1075329971</v>
      </c>
      <c r="F66" s="98" t="s">
        <v>192</v>
      </c>
    </row>
    <row r="67">
      <c r="A67" s="367" t="s">
        <v>194</v>
      </c>
      <c r="B67" s="217">
        <f t="shared" si="26"/>
        <v>0.09032720855</v>
      </c>
      <c r="C67" s="217">
        <f t="shared" si="27"/>
        <v>0.1387487928</v>
      </c>
      <c r="D67" s="220">
        <f t="shared" si="28"/>
        <v>0.1526236721</v>
      </c>
      <c r="F67" s="98" t="s">
        <v>195</v>
      </c>
    </row>
    <row r="68">
      <c r="A68" s="118"/>
    </row>
    <row r="69">
      <c r="A69" s="116" t="s">
        <v>196</v>
      </c>
      <c r="B69" s="2"/>
      <c r="C69" s="2"/>
      <c r="D69" s="2"/>
      <c r="E69" s="2"/>
      <c r="F69" s="2"/>
      <c r="G69" s="2"/>
    </row>
    <row r="70">
      <c r="A70" s="118" t="s">
        <v>198</v>
      </c>
    </row>
    <row r="71">
      <c r="A71" s="118" t="s">
        <v>199</v>
      </c>
    </row>
    <row r="72">
      <c r="A72" s="326" t="s">
        <v>200</v>
      </c>
      <c r="B72" s="377">
        <f>MeanDomesticGasBill*gasBillPropSpace</f>
        <v>7399.639025</v>
      </c>
      <c r="C72" s="98" t="s">
        <v>93</v>
      </c>
    </row>
    <row r="73">
      <c r="A73" s="118"/>
      <c r="B73" s="378"/>
    </row>
    <row r="74">
      <c r="A74" s="118"/>
      <c r="B74" s="378" t="s">
        <v>114</v>
      </c>
      <c r="E74" s="98" t="s">
        <v>175</v>
      </c>
    </row>
    <row r="75">
      <c r="A75" s="116" t="s">
        <v>203</v>
      </c>
      <c r="B75" s="382" t="s">
        <v>5</v>
      </c>
      <c r="C75" s="323" t="s">
        <v>204</v>
      </c>
      <c r="D75" s="323" t="s">
        <v>7</v>
      </c>
      <c r="E75" s="382" t="s">
        <v>5</v>
      </c>
      <c r="F75" s="323" t="s">
        <v>204</v>
      </c>
      <c r="G75" s="324" t="s">
        <v>7</v>
      </c>
    </row>
    <row r="76">
      <c r="A76" s="326" t="s">
        <v>205</v>
      </c>
      <c r="B76" s="113">
        <f t="shared" ref="B76:D76" si="29">$B$72*B64</f>
        <v>221.6160417</v>
      </c>
      <c r="C76" s="115">
        <f t="shared" si="29"/>
        <v>321.3742372</v>
      </c>
      <c r="D76" s="115">
        <f t="shared" si="29"/>
        <v>420.4340355</v>
      </c>
      <c r="E76" s="387">
        <f>gasPricePerkWh/100*B76</f>
        <v>17.66279852</v>
      </c>
      <c r="F76" s="388">
        <f>gasPricePerkWh/100*C76</f>
        <v>25.61352671</v>
      </c>
      <c r="G76" s="391">
        <f>gasPricePerkWh/100*D76</f>
        <v>33.50859263</v>
      </c>
    </row>
    <row r="77">
      <c r="A77" s="326" t="s">
        <v>208</v>
      </c>
      <c r="B77" s="113">
        <f t="shared" ref="B77:D77" si="30">$B$72*B65</f>
        <v>310.086493</v>
      </c>
      <c r="C77" s="115">
        <f t="shared" si="30"/>
        <v>410.4040036</v>
      </c>
      <c r="D77" s="115">
        <f t="shared" si="30"/>
        <v>514.4134082</v>
      </c>
      <c r="E77" s="387">
        <f>gasPricePerkWh/100*B77</f>
        <v>24.71389349</v>
      </c>
      <c r="F77" s="388">
        <f>gasPricePerkWh/100*C77</f>
        <v>32.70919909</v>
      </c>
      <c r="G77" s="391">
        <f>gasPricePerkWh/100*D77</f>
        <v>40.99874863</v>
      </c>
    </row>
    <row r="78">
      <c r="A78" s="326" t="s">
        <v>210</v>
      </c>
      <c r="B78" s="113">
        <f t="shared" ref="B78:D78" si="31">$B$72*B66</f>
        <v>472.4922762</v>
      </c>
      <c r="C78" s="115">
        <f t="shared" si="31"/>
        <v>723.3685108</v>
      </c>
      <c r="D78" s="115">
        <f t="shared" si="31"/>
        <v>795.7053619</v>
      </c>
      <c r="E78" s="387">
        <f>gasPricePerkWh/100*B78</f>
        <v>37.65763442</v>
      </c>
      <c r="F78" s="388">
        <f>gasPricePerkWh/100*C78</f>
        <v>57.65247031</v>
      </c>
      <c r="G78" s="391">
        <f>gasPricePerkWh/100*D78</f>
        <v>63.41771734</v>
      </c>
    </row>
    <row r="79">
      <c r="A79" s="326" t="s">
        <v>211</v>
      </c>
      <c r="B79" s="403">
        <f t="shared" ref="B79:D79" si="32">$B$72*B67</f>
        <v>668.3887374</v>
      </c>
      <c r="C79" s="405">
        <f t="shared" si="32"/>
        <v>1026.690982</v>
      </c>
      <c r="D79" s="405">
        <f t="shared" si="32"/>
        <v>1129.36008</v>
      </c>
      <c r="E79" s="406">
        <f>gasPricePerkWh/100*B79</f>
        <v>53.27058237</v>
      </c>
      <c r="F79" s="409">
        <f>gasPricePerkWh/100*C79</f>
        <v>81.82727125</v>
      </c>
      <c r="G79" s="410">
        <f>gasPricePerkWh/100*D79</f>
        <v>90.00999838</v>
      </c>
    </row>
    <row r="80">
      <c r="A80" s="118"/>
      <c r="B80" s="411"/>
    </row>
    <row r="81">
      <c r="A81" s="118"/>
      <c r="B81" s="411"/>
    </row>
    <row r="82">
      <c r="A82" s="116" t="s">
        <v>215</v>
      </c>
      <c r="B82" s="1"/>
      <c r="C82" s="1"/>
      <c r="D82" s="1"/>
      <c r="E82" s="1"/>
      <c r="F82" s="1"/>
      <c r="G82" s="1"/>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row>
    <row r="83">
      <c r="A83" s="118" t="s">
        <v>216</v>
      </c>
    </row>
    <row r="84">
      <c r="A84" s="118" t="s">
        <v>217</v>
      </c>
    </row>
    <row r="85">
      <c r="A85" s="118" t="s">
        <v>218</v>
      </c>
    </row>
    <row r="86">
      <c r="A86" s="118" t="s">
        <v>219</v>
      </c>
    </row>
    <row r="87">
      <c r="A87" s="118"/>
    </row>
    <row r="88">
      <c r="A88" s="413" t="s">
        <v>220</v>
      </c>
      <c r="B88" s="414">
        <f>propHomesGasHeating*(1-propGasRegular)</f>
        <v>0.5682975</v>
      </c>
      <c r="C88" s="145"/>
      <c r="D88" s="374"/>
    </row>
    <row r="89">
      <c r="A89" s="415" t="s">
        <v>221</v>
      </c>
      <c r="B89" s="416">
        <v>4500000.0</v>
      </c>
      <c r="D89" s="163" t="s">
        <v>59</v>
      </c>
      <c r="E89" s="98" t="s">
        <v>222</v>
      </c>
    </row>
    <row r="90">
      <c r="A90" s="415" t="s">
        <v>223</v>
      </c>
      <c r="B90" s="417">
        <f>B89/(propHomesGasHeating*numberDwellingsUK)</f>
        <v>0.1756668031</v>
      </c>
      <c r="D90" s="163"/>
    </row>
    <row r="91">
      <c r="A91" s="418" t="s">
        <v>224</v>
      </c>
      <c r="B91" s="419">
        <v>0.32</v>
      </c>
      <c r="C91" s="420" t="s">
        <v>225</v>
      </c>
      <c r="D91" s="422">
        <v>0.33</v>
      </c>
    </row>
    <row r="92">
      <c r="A92" s="118"/>
      <c r="B92" s="290"/>
      <c r="I92" s="98">
        <v>1.0</v>
      </c>
    </row>
    <row r="93">
      <c r="A93" s="423" t="s">
        <v>226</v>
      </c>
      <c r="B93" s="424" t="s">
        <v>74</v>
      </c>
      <c r="C93" s="424" t="s">
        <v>228</v>
      </c>
      <c r="D93" s="424" t="s">
        <v>230</v>
      </c>
      <c r="E93" s="424" t="s">
        <v>231</v>
      </c>
      <c r="F93" s="425"/>
      <c r="G93" s="425"/>
      <c r="H93" s="425"/>
      <c r="I93" s="425"/>
      <c r="J93" s="425"/>
      <c r="K93" s="425"/>
      <c r="L93" s="425"/>
      <c r="M93" s="425"/>
      <c r="N93" s="425"/>
      <c r="O93" s="425"/>
      <c r="P93" s="425"/>
      <c r="Q93" s="425"/>
      <c r="R93" s="425"/>
      <c r="S93" s="425"/>
      <c r="T93" s="425"/>
      <c r="U93" s="425"/>
      <c r="V93" s="425"/>
      <c r="W93" s="425"/>
      <c r="X93" s="425"/>
      <c r="Y93" s="425"/>
      <c r="Z93" s="425"/>
      <c r="AA93" s="425"/>
      <c r="AB93" s="425"/>
      <c r="AC93" s="425"/>
      <c r="AD93" s="425"/>
      <c r="AE93" s="425"/>
      <c r="AF93" s="425"/>
      <c r="AG93" s="425"/>
      <c r="AH93" s="425"/>
    </row>
    <row r="94">
      <c r="A94" s="354"/>
      <c r="B94" s="426">
        <v>75.0</v>
      </c>
      <c r="C94" s="427">
        <v>0.75</v>
      </c>
      <c r="D94" s="427">
        <v>0.94</v>
      </c>
      <c r="E94" s="427">
        <v>1.0</v>
      </c>
    </row>
    <row r="95">
      <c r="A95" s="354"/>
      <c r="B95" s="426">
        <v>60.0</v>
      </c>
      <c r="C95" s="427">
        <v>0.64</v>
      </c>
      <c r="D95" s="427">
        <v>0.72</v>
      </c>
      <c r="E95" s="427">
        <v>0.8</v>
      </c>
    </row>
    <row r="96">
      <c r="A96" s="428"/>
      <c r="B96" s="426">
        <v>55.0</v>
      </c>
      <c r="C96" s="427">
        <v>0.47</v>
      </c>
      <c r="D96" s="427">
        <v>0.53</v>
      </c>
      <c r="E96" s="427">
        <v>0.59</v>
      </c>
    </row>
    <row r="97">
      <c r="A97" s="118"/>
      <c r="B97" s="118"/>
      <c r="D97" s="290"/>
      <c r="E97" s="290"/>
    </row>
    <row r="98">
      <c r="A98" s="429"/>
      <c r="B98" s="430" t="s">
        <v>5</v>
      </c>
      <c r="C98" s="323" t="s">
        <v>204</v>
      </c>
      <c r="D98" s="324" t="s">
        <v>7</v>
      </c>
    </row>
    <row r="99">
      <c r="A99" s="326" t="s">
        <v>232</v>
      </c>
      <c r="B99" s="431">
        <v>0.8</v>
      </c>
      <c r="C99" s="432">
        <v>0.9</v>
      </c>
      <c r="D99" s="433">
        <v>1.0</v>
      </c>
      <c r="E99" s="98" t="s">
        <v>233</v>
      </c>
    </row>
    <row r="100">
      <c r="A100" s="326" t="s">
        <v>234</v>
      </c>
      <c r="B100" s="431">
        <f>B88*0.96</f>
        <v>0.5455656</v>
      </c>
      <c r="C100" s="432">
        <f>B88*0.98</f>
        <v>0.55693155</v>
      </c>
      <c r="D100" s="433">
        <f>B88</f>
        <v>0.5682975</v>
      </c>
      <c r="E100" s="98" t="s">
        <v>235</v>
      </c>
    </row>
    <row r="101">
      <c r="A101" s="326" t="s">
        <v>236</v>
      </c>
      <c r="B101" s="431">
        <f t="shared" ref="B101:D101" si="33">C95</f>
        <v>0.64</v>
      </c>
      <c r="C101" s="432">
        <f t="shared" si="33"/>
        <v>0.72</v>
      </c>
      <c r="D101" s="433">
        <f t="shared" si="33"/>
        <v>0.8</v>
      </c>
      <c r="E101" s="98" t="s">
        <v>237</v>
      </c>
    </row>
    <row r="102">
      <c r="A102" s="326" t="s">
        <v>238</v>
      </c>
      <c r="B102" s="431">
        <f t="shared" ref="B102:D102" si="34">C96</f>
        <v>0.47</v>
      </c>
      <c r="C102" s="432">
        <f t="shared" si="34"/>
        <v>0.53</v>
      </c>
      <c r="D102" s="433">
        <f t="shared" si="34"/>
        <v>0.59</v>
      </c>
      <c r="E102" s="98" t="s">
        <v>239</v>
      </c>
    </row>
    <row r="103">
      <c r="A103" s="326" t="s">
        <v>240</v>
      </c>
      <c r="B103" s="431">
        <v>0.3</v>
      </c>
      <c r="C103" s="432">
        <v>0.25</v>
      </c>
      <c r="D103" s="433">
        <v>0.2</v>
      </c>
      <c r="E103" s="98" t="s">
        <v>233</v>
      </c>
    </row>
    <row r="104">
      <c r="A104" s="326" t="s">
        <v>241</v>
      </c>
      <c r="B104" s="431">
        <v>0.5</v>
      </c>
      <c r="C104" s="432">
        <v>0.4</v>
      </c>
      <c r="D104" s="433">
        <v>0.3</v>
      </c>
      <c r="E104" s="98" t="s">
        <v>233</v>
      </c>
    </row>
    <row r="105">
      <c r="A105" s="326" t="s">
        <v>242</v>
      </c>
      <c r="B105" s="431">
        <f t="shared" ref="B105:D105" si="35">1-$B$90*B103</f>
        <v>0.9472999591</v>
      </c>
      <c r="C105" s="432">
        <f t="shared" si="35"/>
        <v>0.9560832992</v>
      </c>
      <c r="D105" s="433">
        <f t="shared" si="35"/>
        <v>0.9648666394</v>
      </c>
    </row>
    <row r="106">
      <c r="A106" s="326" t="s">
        <v>243</v>
      </c>
      <c r="B106" s="431">
        <f t="shared" ref="B106:D106" si="36">1-$B$90*B104</f>
        <v>0.9121665985</v>
      </c>
      <c r="C106" s="432">
        <f t="shared" si="36"/>
        <v>0.9297332788</v>
      </c>
      <c r="D106" s="433">
        <f t="shared" si="36"/>
        <v>0.9472999591</v>
      </c>
    </row>
    <row r="107">
      <c r="A107" s="326"/>
      <c r="B107" s="431"/>
      <c r="C107" s="432"/>
      <c r="D107" s="433"/>
    </row>
    <row r="108">
      <c r="A108" s="326" t="s">
        <v>246</v>
      </c>
      <c r="B108" s="434">
        <f t="shared" ref="B108:D108" si="37">B100*B101*B105*(1-$B$91)</f>
        <v>0.2249175706</v>
      </c>
      <c r="C108" s="435">
        <f t="shared" si="37"/>
        <v>0.2606987582</v>
      </c>
      <c r="D108" s="436">
        <f t="shared" si="37"/>
        <v>0.2982922267</v>
      </c>
      <c r="E108" s="26" t="s">
        <v>247</v>
      </c>
    </row>
    <row r="109">
      <c r="A109" s="326" t="s">
        <v>248</v>
      </c>
      <c r="B109" s="434">
        <f t="shared" ref="B109:D109" si="38">B101*B102*B106*(1-$B$91)</f>
        <v>0.1865782047</v>
      </c>
      <c r="C109" s="435">
        <f t="shared" si="38"/>
        <v>0.241254629</v>
      </c>
      <c r="D109" s="436">
        <f t="shared" si="38"/>
        <v>0.3040453949</v>
      </c>
      <c r="E109" s="26" t="s">
        <v>247</v>
      </c>
    </row>
    <row r="110">
      <c r="A110" s="326" t="s">
        <v>249</v>
      </c>
      <c r="B110" s="437">
        <f>SUM('Draught Stripping'!$W15:$X16)+170000</f>
        <v>473280</v>
      </c>
      <c r="C110" s="437">
        <v>473280.0</v>
      </c>
      <c r="D110" s="438">
        <v>473280.0</v>
      </c>
      <c r="E110" s="26" t="s">
        <v>250</v>
      </c>
    </row>
    <row r="111">
      <c r="A111" s="326" t="s">
        <v>251</v>
      </c>
      <c r="B111" s="443">
        <f>numberDwellingsUK*B76*B108/1000000</f>
        <v>1527.849445</v>
      </c>
      <c r="C111" s="441">
        <f>numberDwellingsUK*C76*C108/1000000</f>
        <v>2568.064956</v>
      </c>
      <c r="D111" s="442">
        <f>numberDwellingsUK*D76*D108/1000000</f>
        <v>3844.109814</v>
      </c>
      <c r="E111" s="98" t="s">
        <v>253</v>
      </c>
    </row>
    <row r="112">
      <c r="A112" s="326" t="s">
        <v>254</v>
      </c>
      <c r="B112" s="454">
        <f>numberDwellingsUK*B77*B109/1000000</f>
        <v>1773.371573</v>
      </c>
      <c r="C112" s="460">
        <f>numberDwellingsUK*C77*C109/1000000</f>
        <v>3034.891903</v>
      </c>
      <c r="D112" s="462">
        <f>numberDwellingsUK*D77*D109/1000000</f>
        <v>4794.095631</v>
      </c>
      <c r="E112" s="98" t="s">
        <v>253</v>
      </c>
    </row>
    <row r="113">
      <c r="A113" s="118"/>
      <c r="B113" s="27"/>
      <c r="C113" s="27"/>
      <c r="D113" s="27"/>
    </row>
    <row r="114">
      <c r="A114" s="118"/>
      <c r="B114" s="98"/>
      <c r="C114" s="98"/>
      <c r="D114" s="98"/>
    </row>
    <row r="115">
      <c r="A115" s="118"/>
      <c r="B115" s="98"/>
      <c r="C115" s="98"/>
      <c r="D115" s="98"/>
    </row>
    <row r="116">
      <c r="A116" s="116" t="s">
        <v>16</v>
      </c>
      <c r="B116" s="465" t="s">
        <v>11</v>
      </c>
      <c r="C116" s="9"/>
      <c r="D116" s="9"/>
      <c r="E116" s="9"/>
      <c r="F116" s="9"/>
      <c r="G116" s="9"/>
      <c r="H116" s="9"/>
      <c r="I116" s="9"/>
      <c r="J116" s="10"/>
      <c r="K116" s="465" t="s">
        <v>256</v>
      </c>
      <c r="L116" s="9"/>
      <c r="M116" s="9"/>
      <c r="N116" s="9"/>
      <c r="O116" s="9"/>
      <c r="P116" s="9"/>
      <c r="Q116" s="9"/>
      <c r="R116" s="9"/>
      <c r="S116" s="10"/>
      <c r="T116" s="467" t="s">
        <v>257</v>
      </c>
      <c r="U116" s="26"/>
      <c r="V116" s="26"/>
      <c r="W116" s="26"/>
      <c r="X116" s="26"/>
      <c r="Y116" s="26"/>
      <c r="Z116" s="26"/>
      <c r="AA116" s="26"/>
      <c r="AB116" s="26"/>
      <c r="AC116" s="26"/>
      <c r="AD116" s="26"/>
      <c r="AE116" s="26"/>
      <c r="AF116" s="26"/>
      <c r="AG116" s="26"/>
      <c r="AH116" s="26"/>
    </row>
    <row r="117">
      <c r="A117" s="326"/>
      <c r="B117" s="468" t="s">
        <v>30</v>
      </c>
      <c r="C117" s="469"/>
      <c r="D117" s="470"/>
      <c r="E117" s="468" t="s">
        <v>31</v>
      </c>
      <c r="F117" s="469"/>
      <c r="G117" s="470"/>
      <c r="H117" s="60" t="s">
        <v>32</v>
      </c>
      <c r="I117" s="57"/>
      <c r="J117" s="58"/>
      <c r="K117" s="468" t="s">
        <v>30</v>
      </c>
      <c r="L117" s="469"/>
      <c r="M117" s="470"/>
      <c r="N117" s="468" t="s">
        <v>31</v>
      </c>
      <c r="O117" s="469"/>
      <c r="P117" s="470"/>
      <c r="Q117" s="60" t="s">
        <v>32</v>
      </c>
      <c r="R117" s="57"/>
      <c r="S117" s="58"/>
      <c r="T117" s="472"/>
    </row>
    <row r="118">
      <c r="A118" s="473" t="s">
        <v>258</v>
      </c>
      <c r="B118" s="74" t="s">
        <v>5</v>
      </c>
      <c r="C118" s="69" t="s">
        <v>6</v>
      </c>
      <c r="D118" s="70" t="s">
        <v>7</v>
      </c>
      <c r="E118" s="74" t="s">
        <v>5</v>
      </c>
      <c r="F118" s="69" t="s">
        <v>6</v>
      </c>
      <c r="G118" s="70" t="s">
        <v>7</v>
      </c>
      <c r="H118" s="74" t="s">
        <v>5</v>
      </c>
      <c r="I118" s="69" t="s">
        <v>6</v>
      </c>
      <c r="J118" s="70" t="s">
        <v>7</v>
      </c>
      <c r="K118" s="74" t="s">
        <v>5</v>
      </c>
      <c r="L118" s="69" t="s">
        <v>6</v>
      </c>
      <c r="M118" s="70" t="s">
        <v>7</v>
      </c>
      <c r="N118" s="74" t="s">
        <v>5</v>
      </c>
      <c r="O118" s="69" t="s">
        <v>6</v>
      </c>
      <c r="P118" s="70" t="s">
        <v>7</v>
      </c>
      <c r="Q118" s="74" t="s">
        <v>5</v>
      </c>
      <c r="R118" s="69" t="s">
        <v>6</v>
      </c>
      <c r="S118" s="70" t="s">
        <v>7</v>
      </c>
      <c r="T118" s="474"/>
    </row>
    <row r="119">
      <c r="A119" s="73" t="s">
        <v>259</v>
      </c>
      <c r="B119" s="443">
        <f t="shared" ref="B119:D119" si="39">B76</f>
        <v>221.6160417</v>
      </c>
      <c r="C119" s="441">
        <f t="shared" si="39"/>
        <v>321.3742372</v>
      </c>
      <c r="D119" s="442">
        <f t="shared" si="39"/>
        <v>420.4340355</v>
      </c>
      <c r="E119" s="152">
        <v>0.0</v>
      </c>
      <c r="F119" s="27">
        <v>0.0</v>
      </c>
      <c r="G119" s="170">
        <v>0.0</v>
      </c>
      <c r="H119" s="152">
        <v>0.0</v>
      </c>
      <c r="I119" s="27">
        <v>0.0</v>
      </c>
      <c r="J119" s="170">
        <v>0.0</v>
      </c>
      <c r="K119" s="443">
        <f>(B108*numberDwellingsUK-NewHomesLowFlowBoilers)/1000</f>
        <v>6420.848389</v>
      </c>
      <c r="L119" s="441">
        <f>(C108*numberDwellingsUK-NewHomesLowFlowBoilers)/1000</f>
        <v>7517.606196</v>
      </c>
      <c r="M119" s="442">
        <f>(D108*numberDwellingsUK-NewHomesLowFlowBoilers)/1000</f>
        <v>8669.913674</v>
      </c>
      <c r="N119" s="152">
        <v>0.0</v>
      </c>
      <c r="O119" s="27">
        <v>0.0</v>
      </c>
      <c r="P119" s="170">
        <v>0.0</v>
      </c>
      <c r="Q119" s="152">
        <v>0.0</v>
      </c>
      <c r="R119" s="27">
        <v>0.0</v>
      </c>
      <c r="S119" s="170">
        <v>0.0</v>
      </c>
      <c r="T119" s="475" t="s">
        <v>262</v>
      </c>
    </row>
    <row r="120">
      <c r="A120" s="73" t="s">
        <v>263</v>
      </c>
      <c r="B120" s="443">
        <f t="shared" ref="B120:D120" si="40">B77</f>
        <v>310.086493</v>
      </c>
      <c r="C120" s="441">
        <f t="shared" si="40"/>
        <v>410.4040036</v>
      </c>
      <c r="D120" s="442">
        <f t="shared" si="40"/>
        <v>514.4134082</v>
      </c>
      <c r="E120" s="152">
        <v>0.0</v>
      </c>
      <c r="F120" s="27">
        <v>0.0</v>
      </c>
      <c r="G120" s="170">
        <v>0.0</v>
      </c>
      <c r="H120" s="152">
        <v>0.0</v>
      </c>
      <c r="I120" s="27">
        <v>0.0</v>
      </c>
      <c r="J120" s="170">
        <v>0.0</v>
      </c>
      <c r="K120" s="443">
        <f>(B109*numberDwellingsUK-NewHomesLowFlowBoilers)/1000</f>
        <v>5245.677815</v>
      </c>
      <c r="L120" s="441">
        <f>(C109*numberDwellingsUK-NewHomesLowFlowBoilers)/1000</f>
        <v>6921.608638</v>
      </c>
      <c r="M120" s="442">
        <f>(D109*numberDwellingsUK-NewHomesLowFlowBoilers)/1000</f>
        <v>8846.258634</v>
      </c>
      <c r="N120" s="152">
        <v>0.0</v>
      </c>
      <c r="O120" s="27">
        <v>0.0</v>
      </c>
      <c r="P120" s="170">
        <v>0.0</v>
      </c>
      <c r="Q120" s="152">
        <v>0.0</v>
      </c>
      <c r="R120" s="27">
        <v>0.0</v>
      </c>
      <c r="S120" s="170">
        <v>0.0</v>
      </c>
      <c r="T120" s="475" t="s">
        <v>262</v>
      </c>
    </row>
    <row r="121">
      <c r="A121" s="73" t="s">
        <v>33</v>
      </c>
      <c r="B121" s="443">
        <f t="shared" ref="B121:D121" si="41">B78</f>
        <v>472.4922762</v>
      </c>
      <c r="C121" s="441">
        <f t="shared" si="41"/>
        <v>723.3685108</v>
      </c>
      <c r="D121" s="442">
        <f t="shared" si="41"/>
        <v>795.7053619</v>
      </c>
      <c r="E121" s="152">
        <v>0.0</v>
      </c>
      <c r="F121" s="27">
        <v>0.0</v>
      </c>
      <c r="G121" s="170">
        <v>0.0</v>
      </c>
      <c r="H121" s="152">
        <v>0.0</v>
      </c>
      <c r="I121" s="27">
        <v>0.0</v>
      </c>
      <c r="J121" s="170">
        <v>0.0</v>
      </c>
      <c r="K121" s="443">
        <f>(B108*numberDwellingsUK-NewHomesLowFlowBoilers)/1000</f>
        <v>6420.848389</v>
      </c>
      <c r="L121" s="441">
        <f>(C108*numberDwellingsUK-NewHomesLowFlowBoilers)/1000</f>
        <v>7517.606196</v>
      </c>
      <c r="M121" s="442">
        <f>(D108*numberDwellingsUK-NewHomesLowFlowBoilers)/1000</f>
        <v>8669.913674</v>
      </c>
      <c r="N121" s="152">
        <v>0.0</v>
      </c>
      <c r="O121" s="27">
        <v>0.0</v>
      </c>
      <c r="P121" s="170">
        <v>0.0</v>
      </c>
      <c r="Q121" s="152">
        <v>0.0</v>
      </c>
      <c r="R121" s="27">
        <v>0.0</v>
      </c>
      <c r="S121" s="170">
        <v>0.0</v>
      </c>
      <c r="T121" s="476" t="s">
        <v>227</v>
      </c>
    </row>
    <row r="122">
      <c r="A122" s="73" t="s">
        <v>268</v>
      </c>
      <c r="B122" s="454">
        <f t="shared" ref="B122:D122" si="42">B79</f>
        <v>668.3887374</v>
      </c>
      <c r="C122" s="460">
        <f t="shared" si="42"/>
        <v>1026.690982</v>
      </c>
      <c r="D122" s="462">
        <f t="shared" si="42"/>
        <v>1129.36008</v>
      </c>
      <c r="E122" s="478">
        <v>0.0</v>
      </c>
      <c r="F122" s="195">
        <v>0.0</v>
      </c>
      <c r="G122" s="196">
        <v>0.0</v>
      </c>
      <c r="H122" s="478">
        <v>0.0</v>
      </c>
      <c r="I122" s="195">
        <v>0.0</v>
      </c>
      <c r="J122" s="196">
        <v>0.0</v>
      </c>
      <c r="K122" s="460">
        <f>(B109*numberDwellingsUK-NewHomesLowFlowBoilers)/1000</f>
        <v>5245.677815</v>
      </c>
      <c r="L122" s="460">
        <f>(C109*numberDwellingsUK-NewHomesLowFlowBoilers)/1000</f>
        <v>6921.608638</v>
      </c>
      <c r="M122" s="462">
        <f>(D109*numberDwellingsUK-NewHomesLowFlowBoilers)/1000</f>
        <v>8846.258634</v>
      </c>
      <c r="N122" s="478">
        <v>0.0</v>
      </c>
      <c r="O122" s="195">
        <v>0.0</v>
      </c>
      <c r="P122" s="196">
        <v>0.0</v>
      </c>
      <c r="Q122" s="478">
        <v>0.0</v>
      </c>
      <c r="R122" s="195">
        <v>0.0</v>
      </c>
      <c r="S122" s="196">
        <v>0.0</v>
      </c>
      <c r="T122" s="476" t="s">
        <v>227</v>
      </c>
    </row>
    <row r="123">
      <c r="A123" s="118"/>
      <c r="C123" s="290"/>
    </row>
    <row r="124">
      <c r="A124" s="118"/>
      <c r="L124" s="486">
        <f>L121*1000/numberDwellingsUK</f>
        <v>0.2452582294</v>
      </c>
    </row>
    <row r="125" ht="23.25" customHeight="1">
      <c r="A125" s="118"/>
    </row>
    <row r="126">
      <c r="A126" s="118"/>
    </row>
    <row r="127">
      <c r="A127" s="118"/>
    </row>
    <row r="128">
      <c r="A128" s="118"/>
    </row>
    <row r="129">
      <c r="A129" s="118"/>
    </row>
    <row r="130">
      <c r="A130" s="118"/>
    </row>
    <row r="131">
      <c r="A131" s="118"/>
    </row>
    <row r="132">
      <c r="A132" s="118"/>
    </row>
    <row r="133">
      <c r="A133" s="118"/>
    </row>
    <row r="134">
      <c r="A134" s="118"/>
    </row>
    <row r="135">
      <c r="A135" s="118"/>
    </row>
    <row r="136">
      <c r="A136" s="118"/>
    </row>
    <row r="137">
      <c r="A137" s="118"/>
    </row>
    <row r="138">
      <c r="A138" s="118"/>
    </row>
    <row r="139">
      <c r="A139" s="118"/>
    </row>
    <row r="140">
      <c r="A140" s="118"/>
    </row>
    <row r="141">
      <c r="A141" s="118"/>
    </row>
    <row r="142">
      <c r="A142" s="118"/>
    </row>
    <row r="143">
      <c r="A143" s="118"/>
    </row>
    <row r="144">
      <c r="A144" s="118"/>
    </row>
    <row r="145">
      <c r="A145" s="118"/>
    </row>
    <row r="146">
      <c r="A146" s="118"/>
    </row>
    <row r="147">
      <c r="A147" s="118"/>
    </row>
    <row r="148">
      <c r="A148" s="118"/>
    </row>
    <row r="149">
      <c r="A149" s="118"/>
    </row>
    <row r="150">
      <c r="A150" s="118"/>
    </row>
    <row r="151">
      <c r="A151" s="118"/>
    </row>
    <row r="152">
      <c r="A152" s="118"/>
    </row>
    <row r="153">
      <c r="A153" s="118"/>
    </row>
    <row r="154">
      <c r="A154" s="118"/>
    </row>
    <row r="155">
      <c r="A155" s="118"/>
    </row>
    <row r="156">
      <c r="A156" s="118"/>
    </row>
    <row r="157">
      <c r="A157" s="118"/>
    </row>
    <row r="158">
      <c r="A158" s="118"/>
    </row>
    <row r="159">
      <c r="A159" s="118"/>
    </row>
    <row r="160">
      <c r="A160" s="118"/>
    </row>
    <row r="161">
      <c r="A161" s="118"/>
    </row>
    <row r="162">
      <c r="A162" s="118"/>
    </row>
    <row r="163">
      <c r="A163" s="118"/>
    </row>
    <row r="164">
      <c r="A164" s="118"/>
    </row>
    <row r="165">
      <c r="A165" s="118"/>
    </row>
    <row r="166">
      <c r="A166" s="118"/>
    </row>
    <row r="167">
      <c r="A167" s="118"/>
    </row>
    <row r="168">
      <c r="A168" s="118"/>
    </row>
    <row r="169">
      <c r="A169" s="118"/>
    </row>
    <row r="170">
      <c r="A170" s="118"/>
    </row>
    <row r="171">
      <c r="A171" s="118"/>
    </row>
    <row r="172">
      <c r="A172" s="118"/>
    </row>
    <row r="173">
      <c r="A173" s="118"/>
    </row>
    <row r="174">
      <c r="A174" s="118"/>
    </row>
    <row r="175">
      <c r="A175" s="118"/>
    </row>
    <row r="176">
      <c r="A176" s="118"/>
    </row>
    <row r="177">
      <c r="A177" s="118"/>
    </row>
    <row r="178">
      <c r="A178" s="118"/>
    </row>
    <row r="179">
      <c r="A179" s="118"/>
    </row>
    <row r="180">
      <c r="A180" s="118"/>
    </row>
    <row r="181">
      <c r="A181" s="118"/>
    </row>
    <row r="182">
      <c r="A182" s="118"/>
    </row>
    <row r="183">
      <c r="A183" s="118"/>
    </row>
    <row r="184">
      <c r="A184" s="118"/>
    </row>
    <row r="185">
      <c r="A185" s="118"/>
    </row>
    <row r="186">
      <c r="A186" s="118"/>
    </row>
    <row r="187">
      <c r="A187" s="118"/>
    </row>
    <row r="188">
      <c r="A188" s="118"/>
    </row>
    <row r="189">
      <c r="A189" s="118"/>
    </row>
    <row r="190">
      <c r="A190" s="118"/>
    </row>
    <row r="191">
      <c r="A191" s="118"/>
    </row>
    <row r="192">
      <c r="A192" s="118"/>
    </row>
    <row r="193">
      <c r="A193" s="118"/>
    </row>
    <row r="194">
      <c r="A194" s="118"/>
    </row>
    <row r="195">
      <c r="A195" s="118"/>
    </row>
    <row r="196">
      <c r="A196" s="118"/>
    </row>
    <row r="197">
      <c r="A197" s="118"/>
    </row>
    <row r="198">
      <c r="A198" s="118"/>
    </row>
    <row r="199">
      <c r="A199" s="118"/>
    </row>
    <row r="200">
      <c r="A200" s="118"/>
    </row>
    <row r="201">
      <c r="A201" s="118"/>
    </row>
    <row r="202">
      <c r="A202" s="118"/>
    </row>
    <row r="203">
      <c r="A203" s="118"/>
    </row>
    <row r="204">
      <c r="A204" s="118"/>
    </row>
    <row r="205">
      <c r="A205" s="118"/>
    </row>
    <row r="206">
      <c r="A206" s="118"/>
    </row>
    <row r="207">
      <c r="A207" s="118"/>
    </row>
    <row r="208">
      <c r="A208" s="118"/>
    </row>
    <row r="209">
      <c r="A209" s="118"/>
    </row>
    <row r="210">
      <c r="A210" s="118"/>
    </row>
    <row r="211">
      <c r="A211" s="118"/>
    </row>
    <row r="212">
      <c r="A212" s="118"/>
    </row>
    <row r="213">
      <c r="A213" s="118"/>
    </row>
    <row r="214">
      <c r="A214" s="118"/>
    </row>
    <row r="215">
      <c r="A215" s="118"/>
    </row>
    <row r="216">
      <c r="A216" s="118"/>
    </row>
    <row r="217">
      <c r="A217" s="118"/>
    </row>
    <row r="218">
      <c r="A218" s="118"/>
    </row>
    <row r="219">
      <c r="A219" s="118"/>
    </row>
    <row r="220">
      <c r="A220" s="118"/>
    </row>
    <row r="221">
      <c r="A221" s="118"/>
    </row>
    <row r="222">
      <c r="A222" s="118"/>
    </row>
    <row r="223">
      <c r="A223" s="118"/>
    </row>
    <row r="224">
      <c r="A224" s="118"/>
    </row>
    <row r="225">
      <c r="A225" s="118"/>
    </row>
    <row r="226">
      <c r="A226" s="118"/>
    </row>
    <row r="227">
      <c r="A227" s="118"/>
    </row>
    <row r="228">
      <c r="A228" s="118"/>
    </row>
    <row r="229">
      <c r="A229" s="118"/>
    </row>
    <row r="230">
      <c r="A230" s="118"/>
    </row>
    <row r="231">
      <c r="A231" s="118"/>
    </row>
    <row r="232">
      <c r="A232" s="118"/>
    </row>
    <row r="233">
      <c r="A233" s="118"/>
    </row>
    <row r="234">
      <c r="A234" s="118"/>
    </row>
    <row r="235">
      <c r="A235" s="118"/>
    </row>
    <row r="236">
      <c r="A236" s="118"/>
    </row>
    <row r="237">
      <c r="A237" s="118"/>
    </row>
    <row r="238">
      <c r="A238" s="118"/>
    </row>
    <row r="239">
      <c r="A239" s="118"/>
    </row>
    <row r="240">
      <c r="A240" s="118"/>
    </row>
    <row r="241">
      <c r="A241" s="118"/>
    </row>
    <row r="242">
      <c r="A242" s="118"/>
    </row>
    <row r="243">
      <c r="A243" s="118"/>
    </row>
    <row r="244">
      <c r="A244" s="118"/>
    </row>
    <row r="245">
      <c r="A245" s="118"/>
    </row>
    <row r="246">
      <c r="A246" s="118"/>
    </row>
    <row r="247">
      <c r="A247" s="118"/>
    </row>
    <row r="248">
      <c r="A248" s="118"/>
    </row>
    <row r="249">
      <c r="A249" s="118"/>
    </row>
    <row r="250">
      <c r="A250" s="118"/>
    </row>
    <row r="251">
      <c r="A251" s="118"/>
    </row>
    <row r="252">
      <c r="A252" s="118"/>
    </row>
    <row r="253">
      <c r="A253" s="118"/>
    </row>
    <row r="254">
      <c r="A254" s="118"/>
    </row>
    <row r="255">
      <c r="A255" s="118"/>
    </row>
    <row r="256">
      <c r="A256" s="118"/>
    </row>
    <row r="257">
      <c r="A257" s="118"/>
    </row>
    <row r="258">
      <c r="A258" s="118"/>
    </row>
    <row r="259">
      <c r="A259" s="118"/>
    </row>
    <row r="260">
      <c r="A260" s="118"/>
    </row>
    <row r="261">
      <c r="A261" s="118"/>
    </row>
    <row r="262">
      <c r="A262" s="118"/>
    </row>
    <row r="263">
      <c r="A263" s="118"/>
    </row>
    <row r="264">
      <c r="A264" s="118"/>
    </row>
    <row r="265">
      <c r="A265" s="118"/>
    </row>
    <row r="266">
      <c r="A266" s="118"/>
    </row>
    <row r="267">
      <c r="A267" s="118"/>
    </row>
    <row r="268">
      <c r="A268" s="118"/>
    </row>
    <row r="269">
      <c r="A269" s="118"/>
    </row>
    <row r="270">
      <c r="A270" s="118"/>
    </row>
    <row r="271">
      <c r="A271" s="118"/>
    </row>
    <row r="272">
      <c r="A272" s="118"/>
    </row>
    <row r="273">
      <c r="A273" s="118"/>
    </row>
    <row r="274">
      <c r="A274" s="118"/>
    </row>
    <row r="275">
      <c r="A275" s="118"/>
    </row>
    <row r="276">
      <c r="A276" s="118"/>
    </row>
    <row r="277">
      <c r="A277" s="118"/>
    </row>
    <row r="278">
      <c r="A278" s="118"/>
    </row>
    <row r="279">
      <c r="A279" s="118"/>
    </row>
    <row r="280">
      <c r="A280" s="118"/>
    </row>
    <row r="281">
      <c r="A281" s="118"/>
    </row>
    <row r="282">
      <c r="A282" s="118"/>
    </row>
    <row r="283">
      <c r="A283" s="118"/>
    </row>
    <row r="284">
      <c r="A284" s="118"/>
    </row>
    <row r="285">
      <c r="A285" s="118"/>
    </row>
    <row r="286">
      <c r="A286" s="118"/>
    </row>
    <row r="287">
      <c r="A287" s="118"/>
    </row>
    <row r="288">
      <c r="A288" s="118"/>
    </row>
    <row r="289">
      <c r="A289" s="118"/>
    </row>
    <row r="290">
      <c r="A290" s="118"/>
    </row>
    <row r="291">
      <c r="A291" s="118"/>
    </row>
    <row r="292">
      <c r="A292" s="118"/>
    </row>
    <row r="293">
      <c r="A293" s="118"/>
    </row>
    <row r="294">
      <c r="A294" s="118"/>
    </row>
    <row r="295">
      <c r="A295" s="118"/>
    </row>
    <row r="296">
      <c r="A296" s="118"/>
    </row>
    <row r="297">
      <c r="A297" s="118"/>
    </row>
    <row r="298">
      <c r="A298" s="118"/>
    </row>
    <row r="299">
      <c r="A299" s="118"/>
    </row>
    <row r="300">
      <c r="A300" s="118"/>
    </row>
    <row r="301">
      <c r="A301" s="118"/>
    </row>
    <row r="302">
      <c r="A302" s="118"/>
    </row>
    <row r="303">
      <c r="A303" s="118"/>
    </row>
    <row r="304">
      <c r="A304" s="118"/>
    </row>
    <row r="305">
      <c r="A305" s="118"/>
    </row>
    <row r="306">
      <c r="A306" s="118"/>
    </row>
    <row r="307">
      <c r="A307" s="118"/>
    </row>
    <row r="308">
      <c r="A308" s="118"/>
    </row>
    <row r="309">
      <c r="A309" s="118"/>
    </row>
    <row r="310">
      <c r="A310" s="118"/>
    </row>
    <row r="311">
      <c r="A311" s="118"/>
    </row>
    <row r="312">
      <c r="A312" s="118"/>
    </row>
    <row r="313">
      <c r="A313" s="118"/>
    </row>
    <row r="314">
      <c r="A314" s="118"/>
    </row>
    <row r="315">
      <c r="A315" s="118"/>
    </row>
    <row r="316">
      <c r="A316" s="118"/>
    </row>
    <row r="317">
      <c r="A317" s="118"/>
    </row>
    <row r="318">
      <c r="A318" s="118"/>
    </row>
    <row r="319">
      <c r="A319" s="118"/>
    </row>
    <row r="320">
      <c r="A320" s="118"/>
    </row>
    <row r="321">
      <c r="A321" s="118"/>
    </row>
    <row r="322">
      <c r="A322" s="118"/>
    </row>
    <row r="323">
      <c r="A323" s="118"/>
    </row>
    <row r="324">
      <c r="A324" s="118"/>
    </row>
    <row r="325">
      <c r="A325" s="118"/>
    </row>
    <row r="326">
      <c r="A326" s="118"/>
    </row>
    <row r="327">
      <c r="A327" s="118"/>
    </row>
    <row r="328">
      <c r="A328" s="118"/>
    </row>
    <row r="329">
      <c r="A329" s="118"/>
    </row>
    <row r="330">
      <c r="A330" s="118"/>
    </row>
    <row r="331">
      <c r="A331" s="118"/>
    </row>
    <row r="332">
      <c r="A332" s="118"/>
    </row>
    <row r="333">
      <c r="A333" s="118"/>
    </row>
    <row r="334">
      <c r="A334" s="118"/>
    </row>
    <row r="335">
      <c r="A335" s="118"/>
    </row>
    <row r="336">
      <c r="A336" s="118"/>
    </row>
    <row r="337">
      <c r="A337" s="118"/>
    </row>
    <row r="338">
      <c r="A338" s="118"/>
    </row>
    <row r="339">
      <c r="A339" s="118"/>
    </row>
    <row r="340">
      <c r="A340" s="118"/>
    </row>
    <row r="341">
      <c r="A341" s="118"/>
    </row>
    <row r="342">
      <c r="A342" s="118"/>
    </row>
    <row r="343">
      <c r="A343" s="118"/>
    </row>
    <row r="344">
      <c r="A344" s="118"/>
    </row>
    <row r="345">
      <c r="A345" s="118"/>
    </row>
    <row r="346">
      <c r="A346" s="118"/>
    </row>
    <row r="347">
      <c r="A347" s="118"/>
    </row>
    <row r="348">
      <c r="A348" s="118"/>
    </row>
    <row r="349">
      <c r="A349" s="118"/>
    </row>
    <row r="350">
      <c r="A350" s="118"/>
    </row>
    <row r="351">
      <c r="A351" s="118"/>
    </row>
    <row r="352">
      <c r="A352" s="118"/>
    </row>
    <row r="353">
      <c r="A353" s="118"/>
    </row>
    <row r="354">
      <c r="A354" s="118"/>
    </row>
    <row r="355">
      <c r="A355" s="118"/>
    </row>
    <row r="356">
      <c r="A356" s="118"/>
    </row>
    <row r="357">
      <c r="A357" s="118"/>
    </row>
    <row r="358">
      <c r="A358" s="118"/>
    </row>
    <row r="359">
      <c r="A359" s="118"/>
    </row>
    <row r="360">
      <c r="A360" s="118"/>
    </row>
    <row r="361">
      <c r="A361" s="118"/>
    </row>
    <row r="362">
      <c r="A362" s="118"/>
    </row>
    <row r="363">
      <c r="A363" s="118"/>
    </row>
    <row r="364">
      <c r="A364" s="118"/>
    </row>
    <row r="365">
      <c r="A365" s="118"/>
    </row>
    <row r="366">
      <c r="A366" s="118"/>
    </row>
    <row r="367">
      <c r="A367" s="118"/>
    </row>
    <row r="368">
      <c r="A368" s="118"/>
    </row>
    <row r="369">
      <c r="A369" s="118"/>
    </row>
    <row r="370">
      <c r="A370" s="118"/>
    </row>
    <row r="371">
      <c r="A371" s="118"/>
    </row>
    <row r="372">
      <c r="A372" s="118"/>
    </row>
    <row r="373">
      <c r="A373" s="118"/>
    </row>
    <row r="374">
      <c r="A374" s="118"/>
    </row>
    <row r="375">
      <c r="A375" s="118"/>
    </row>
    <row r="376">
      <c r="A376" s="118"/>
    </row>
    <row r="377">
      <c r="A377" s="118"/>
    </row>
    <row r="378">
      <c r="A378" s="118"/>
    </row>
    <row r="379">
      <c r="A379" s="118"/>
    </row>
    <row r="380">
      <c r="A380" s="118"/>
    </row>
    <row r="381">
      <c r="A381" s="118"/>
    </row>
    <row r="382">
      <c r="A382" s="118"/>
    </row>
    <row r="383">
      <c r="A383" s="118"/>
    </row>
    <row r="384">
      <c r="A384" s="118"/>
    </row>
    <row r="385">
      <c r="A385" s="118"/>
    </row>
    <row r="386">
      <c r="A386" s="118"/>
    </row>
    <row r="387">
      <c r="A387" s="118"/>
    </row>
    <row r="388">
      <c r="A388" s="118"/>
    </row>
    <row r="389">
      <c r="A389" s="118"/>
    </row>
    <row r="390">
      <c r="A390" s="118"/>
    </row>
    <row r="391">
      <c r="A391" s="118"/>
    </row>
    <row r="392">
      <c r="A392" s="118"/>
    </row>
    <row r="393">
      <c r="A393" s="118"/>
    </row>
    <row r="394">
      <c r="A394" s="118"/>
    </row>
    <row r="395">
      <c r="A395" s="118"/>
    </row>
    <row r="396">
      <c r="A396" s="118"/>
    </row>
    <row r="397">
      <c r="A397" s="118"/>
    </row>
    <row r="398">
      <c r="A398" s="118"/>
    </row>
    <row r="399">
      <c r="A399" s="118"/>
    </row>
    <row r="400">
      <c r="A400" s="118"/>
    </row>
    <row r="401">
      <c r="A401" s="118"/>
    </row>
    <row r="402">
      <c r="A402" s="118"/>
    </row>
    <row r="403">
      <c r="A403" s="118"/>
    </row>
    <row r="404">
      <c r="A404" s="118"/>
    </row>
    <row r="405">
      <c r="A405" s="118"/>
    </row>
    <row r="406">
      <c r="A406" s="118"/>
    </row>
    <row r="407">
      <c r="A407" s="118"/>
    </row>
    <row r="408">
      <c r="A408" s="118"/>
    </row>
    <row r="409">
      <c r="A409" s="118"/>
    </row>
    <row r="410">
      <c r="A410" s="118"/>
    </row>
    <row r="411">
      <c r="A411" s="118"/>
    </row>
    <row r="412">
      <c r="A412" s="118"/>
    </row>
    <row r="413">
      <c r="A413" s="118"/>
    </row>
    <row r="414">
      <c r="A414" s="118"/>
    </row>
    <row r="415">
      <c r="A415" s="118"/>
    </row>
    <row r="416">
      <c r="A416" s="118"/>
    </row>
    <row r="417">
      <c r="A417" s="118"/>
    </row>
    <row r="418">
      <c r="A418" s="118"/>
    </row>
    <row r="419">
      <c r="A419" s="118"/>
    </row>
    <row r="420">
      <c r="A420" s="118"/>
    </row>
    <row r="421">
      <c r="A421" s="118"/>
    </row>
    <row r="422">
      <c r="A422" s="118"/>
    </row>
    <row r="423">
      <c r="A423" s="118"/>
    </row>
    <row r="424">
      <c r="A424" s="118"/>
    </row>
    <row r="425">
      <c r="A425" s="118"/>
    </row>
    <row r="426">
      <c r="A426" s="118"/>
    </row>
    <row r="427">
      <c r="A427" s="118"/>
    </row>
    <row r="428">
      <c r="A428" s="118"/>
    </row>
    <row r="429">
      <c r="A429" s="118"/>
    </row>
    <row r="430">
      <c r="A430" s="118"/>
    </row>
    <row r="431">
      <c r="A431" s="118"/>
    </row>
    <row r="432">
      <c r="A432" s="118"/>
    </row>
    <row r="433">
      <c r="A433" s="118"/>
    </row>
    <row r="434">
      <c r="A434" s="118"/>
    </row>
    <row r="435">
      <c r="A435" s="118"/>
    </row>
    <row r="436">
      <c r="A436" s="118"/>
    </row>
    <row r="437">
      <c r="A437" s="118"/>
    </row>
    <row r="438">
      <c r="A438" s="118"/>
    </row>
    <row r="439">
      <c r="A439" s="118"/>
    </row>
    <row r="440">
      <c r="A440" s="118"/>
    </row>
    <row r="441">
      <c r="A441" s="118"/>
    </row>
    <row r="442">
      <c r="A442" s="118"/>
    </row>
    <row r="443">
      <c r="A443" s="118"/>
    </row>
    <row r="444">
      <c r="A444" s="118"/>
    </row>
    <row r="445">
      <c r="A445" s="118"/>
    </row>
    <row r="446">
      <c r="A446" s="118"/>
    </row>
    <row r="447">
      <c r="A447" s="118"/>
    </row>
    <row r="448">
      <c r="A448" s="118"/>
    </row>
    <row r="449">
      <c r="A449" s="118"/>
    </row>
    <row r="450">
      <c r="A450" s="118"/>
    </row>
    <row r="451">
      <c r="A451" s="118"/>
    </row>
    <row r="452">
      <c r="A452" s="118"/>
    </row>
    <row r="453">
      <c r="A453" s="118"/>
    </row>
    <row r="454">
      <c r="A454" s="118"/>
    </row>
    <row r="455">
      <c r="A455" s="118"/>
    </row>
    <row r="456">
      <c r="A456" s="118"/>
    </row>
    <row r="457">
      <c r="A457" s="118"/>
    </row>
    <row r="458">
      <c r="A458" s="118"/>
    </row>
    <row r="459">
      <c r="A459" s="118"/>
    </row>
    <row r="460">
      <c r="A460" s="118"/>
    </row>
    <row r="461">
      <c r="A461" s="118"/>
    </row>
    <row r="462">
      <c r="A462" s="118"/>
    </row>
    <row r="463">
      <c r="A463" s="118"/>
    </row>
    <row r="464">
      <c r="A464" s="118"/>
    </row>
    <row r="465">
      <c r="A465" s="118"/>
    </row>
    <row r="466">
      <c r="A466" s="118"/>
    </row>
    <row r="467">
      <c r="A467" s="118"/>
    </row>
    <row r="468">
      <c r="A468" s="118"/>
    </row>
    <row r="469">
      <c r="A469" s="118"/>
    </row>
    <row r="470">
      <c r="A470" s="118"/>
    </row>
    <row r="471">
      <c r="A471" s="118"/>
    </row>
    <row r="472">
      <c r="A472" s="118"/>
    </row>
    <row r="473">
      <c r="A473" s="118"/>
    </row>
    <row r="474">
      <c r="A474" s="118"/>
    </row>
    <row r="475">
      <c r="A475" s="118"/>
    </row>
    <row r="476">
      <c r="A476" s="118"/>
    </row>
    <row r="477">
      <c r="A477" s="118"/>
    </row>
    <row r="478">
      <c r="A478" s="118"/>
    </row>
    <row r="479">
      <c r="A479" s="118"/>
    </row>
    <row r="480">
      <c r="A480" s="118"/>
    </row>
    <row r="481">
      <c r="A481" s="118"/>
    </row>
    <row r="482">
      <c r="A482" s="118"/>
    </row>
    <row r="483">
      <c r="A483" s="118"/>
    </row>
    <row r="484">
      <c r="A484" s="118"/>
    </row>
    <row r="485">
      <c r="A485" s="118"/>
    </row>
    <row r="486">
      <c r="A486" s="118"/>
    </row>
    <row r="487">
      <c r="A487" s="118"/>
    </row>
    <row r="488">
      <c r="A488" s="118"/>
    </row>
    <row r="489">
      <c r="A489" s="118"/>
    </row>
    <row r="490">
      <c r="A490" s="118"/>
    </row>
    <row r="491">
      <c r="A491" s="118"/>
    </row>
    <row r="492">
      <c r="A492" s="118"/>
    </row>
    <row r="493">
      <c r="A493" s="118"/>
    </row>
    <row r="494">
      <c r="A494" s="118"/>
    </row>
    <row r="495">
      <c r="A495" s="118"/>
    </row>
    <row r="496">
      <c r="A496" s="118"/>
    </row>
    <row r="497">
      <c r="A497" s="118"/>
    </row>
    <row r="498">
      <c r="A498" s="118"/>
    </row>
    <row r="499">
      <c r="A499" s="118"/>
    </row>
    <row r="500">
      <c r="A500" s="118"/>
    </row>
    <row r="501">
      <c r="A501" s="118"/>
    </row>
    <row r="502">
      <c r="A502" s="118"/>
    </row>
    <row r="503">
      <c r="A503" s="118"/>
    </row>
    <row r="504">
      <c r="A504" s="118"/>
    </row>
    <row r="505">
      <c r="A505" s="118"/>
    </row>
    <row r="506">
      <c r="A506" s="118"/>
    </row>
    <row r="507">
      <c r="A507" s="118"/>
    </row>
    <row r="508">
      <c r="A508" s="118"/>
    </row>
    <row r="509">
      <c r="A509" s="118"/>
    </row>
    <row r="510">
      <c r="A510" s="118"/>
    </row>
    <row r="511">
      <c r="A511" s="118"/>
    </row>
    <row r="512">
      <c r="A512" s="118"/>
    </row>
    <row r="513">
      <c r="A513" s="118"/>
    </row>
    <row r="514">
      <c r="A514" s="118"/>
    </row>
    <row r="515">
      <c r="A515" s="118"/>
    </row>
    <row r="516">
      <c r="A516" s="118"/>
    </row>
    <row r="517">
      <c r="A517" s="118"/>
    </row>
    <row r="518">
      <c r="A518" s="118"/>
    </row>
    <row r="519">
      <c r="A519" s="118"/>
    </row>
    <row r="520">
      <c r="A520" s="118"/>
    </row>
    <row r="521">
      <c r="A521" s="118"/>
    </row>
    <row r="522">
      <c r="A522" s="118"/>
    </row>
    <row r="523">
      <c r="A523" s="118"/>
    </row>
    <row r="524">
      <c r="A524" s="118"/>
    </row>
    <row r="525">
      <c r="A525" s="118"/>
    </row>
    <row r="526">
      <c r="A526" s="118"/>
    </row>
    <row r="527">
      <c r="A527" s="118"/>
    </row>
    <row r="528">
      <c r="A528" s="118"/>
    </row>
    <row r="529">
      <c r="A529" s="118"/>
    </row>
    <row r="530">
      <c r="A530" s="118"/>
    </row>
    <row r="531">
      <c r="A531" s="118"/>
    </row>
    <row r="532">
      <c r="A532" s="118"/>
    </row>
    <row r="533">
      <c r="A533" s="118"/>
    </row>
    <row r="534">
      <c r="A534" s="118"/>
    </row>
    <row r="535">
      <c r="A535" s="118"/>
    </row>
    <row r="536">
      <c r="A536" s="118"/>
    </row>
    <row r="537">
      <c r="A537" s="118"/>
    </row>
    <row r="538">
      <c r="A538" s="118"/>
    </row>
    <row r="539">
      <c r="A539" s="118"/>
    </row>
    <row r="540">
      <c r="A540" s="118"/>
    </row>
    <row r="541">
      <c r="A541" s="118"/>
    </row>
    <row r="542">
      <c r="A542" s="118"/>
    </row>
    <row r="543">
      <c r="A543" s="118"/>
    </row>
    <row r="544">
      <c r="A544" s="118"/>
    </row>
    <row r="545">
      <c r="A545" s="118"/>
    </row>
    <row r="546">
      <c r="A546" s="118"/>
    </row>
    <row r="547">
      <c r="A547" s="118"/>
    </row>
    <row r="548">
      <c r="A548" s="118"/>
    </row>
    <row r="549">
      <c r="A549" s="118"/>
    </row>
    <row r="550">
      <c r="A550" s="118"/>
    </row>
    <row r="551">
      <c r="A551" s="118"/>
    </row>
    <row r="552">
      <c r="A552" s="118"/>
    </row>
    <row r="553">
      <c r="A553" s="118"/>
    </row>
    <row r="554">
      <c r="A554" s="118"/>
    </row>
    <row r="555">
      <c r="A555" s="118"/>
    </row>
    <row r="556">
      <c r="A556" s="118"/>
    </row>
    <row r="557">
      <c r="A557" s="118"/>
    </row>
    <row r="558">
      <c r="A558" s="118"/>
    </row>
    <row r="559">
      <c r="A559" s="118"/>
    </row>
    <row r="560">
      <c r="A560" s="118"/>
    </row>
    <row r="561">
      <c r="A561" s="118"/>
    </row>
    <row r="562">
      <c r="A562" s="118"/>
    </row>
    <row r="563">
      <c r="A563" s="118"/>
    </row>
    <row r="564">
      <c r="A564" s="118"/>
    </row>
    <row r="565">
      <c r="A565" s="118"/>
    </row>
    <row r="566">
      <c r="A566" s="118"/>
    </row>
    <row r="567">
      <c r="A567" s="118"/>
    </row>
    <row r="568">
      <c r="A568" s="118"/>
    </row>
    <row r="569">
      <c r="A569" s="118"/>
    </row>
    <row r="570">
      <c r="A570" s="118"/>
    </row>
    <row r="571">
      <c r="A571" s="118"/>
    </row>
    <row r="572">
      <c r="A572" s="118"/>
    </row>
    <row r="573">
      <c r="A573" s="118"/>
    </row>
    <row r="574">
      <c r="A574" s="118"/>
    </row>
    <row r="575">
      <c r="A575" s="118"/>
    </row>
    <row r="576">
      <c r="A576" s="118"/>
    </row>
    <row r="577">
      <c r="A577" s="118"/>
    </row>
    <row r="578">
      <c r="A578" s="118"/>
    </row>
    <row r="579">
      <c r="A579" s="118"/>
    </row>
    <row r="580">
      <c r="A580" s="118"/>
    </row>
    <row r="581">
      <c r="A581" s="118"/>
    </row>
    <row r="582">
      <c r="A582" s="118"/>
    </row>
    <row r="583">
      <c r="A583" s="118"/>
    </row>
    <row r="584">
      <c r="A584" s="118"/>
    </row>
    <row r="585">
      <c r="A585" s="118"/>
    </row>
    <row r="586">
      <c r="A586" s="118"/>
    </row>
    <row r="587">
      <c r="A587" s="118"/>
    </row>
    <row r="588">
      <c r="A588" s="118"/>
    </row>
    <row r="589">
      <c r="A589" s="118"/>
    </row>
    <row r="590">
      <c r="A590" s="118"/>
    </row>
    <row r="591">
      <c r="A591" s="118"/>
    </row>
    <row r="592">
      <c r="A592" s="118"/>
    </row>
    <row r="593">
      <c r="A593" s="118"/>
    </row>
    <row r="594">
      <c r="A594" s="118"/>
    </row>
    <row r="595">
      <c r="A595" s="118"/>
    </row>
    <row r="596">
      <c r="A596" s="118"/>
    </row>
    <row r="597">
      <c r="A597" s="118"/>
    </row>
    <row r="598">
      <c r="A598" s="118"/>
    </row>
    <row r="599">
      <c r="A599" s="118"/>
    </row>
    <row r="600">
      <c r="A600" s="118"/>
    </row>
    <row r="601">
      <c r="A601" s="118"/>
    </row>
    <row r="602">
      <c r="A602" s="118"/>
    </row>
    <row r="603">
      <c r="A603" s="118"/>
    </row>
    <row r="604">
      <c r="A604" s="118"/>
    </row>
    <row r="605">
      <c r="A605" s="118"/>
    </row>
    <row r="606">
      <c r="A606" s="118"/>
    </row>
    <row r="607">
      <c r="A607" s="118"/>
    </row>
    <row r="608">
      <c r="A608" s="118"/>
    </row>
    <row r="609">
      <c r="A609" s="118"/>
    </row>
    <row r="610">
      <c r="A610" s="118"/>
    </row>
    <row r="611">
      <c r="A611" s="118"/>
    </row>
    <row r="612">
      <c r="A612" s="118"/>
    </row>
    <row r="613">
      <c r="A613" s="118"/>
    </row>
    <row r="614">
      <c r="A614" s="118"/>
    </row>
    <row r="615">
      <c r="A615" s="118"/>
    </row>
    <row r="616">
      <c r="A616" s="118"/>
    </row>
    <row r="617">
      <c r="A617" s="118"/>
    </row>
    <row r="618">
      <c r="A618" s="118"/>
    </row>
    <row r="619">
      <c r="A619" s="118"/>
    </row>
    <row r="620">
      <c r="A620" s="118"/>
    </row>
    <row r="621">
      <c r="A621" s="118"/>
    </row>
    <row r="622">
      <c r="A622" s="118"/>
    </row>
    <row r="623">
      <c r="A623" s="118"/>
    </row>
    <row r="624">
      <c r="A624" s="118"/>
    </row>
    <row r="625">
      <c r="A625" s="118"/>
    </row>
    <row r="626">
      <c r="A626" s="118"/>
    </row>
    <row r="627">
      <c r="A627" s="118"/>
    </row>
    <row r="628">
      <c r="A628" s="118"/>
    </row>
    <row r="629">
      <c r="A629" s="118"/>
    </row>
    <row r="630">
      <c r="A630" s="118"/>
    </row>
    <row r="631">
      <c r="A631" s="118"/>
    </row>
    <row r="632">
      <c r="A632" s="118"/>
    </row>
    <row r="633">
      <c r="A633" s="118"/>
    </row>
    <row r="634">
      <c r="A634" s="118"/>
    </row>
    <row r="635">
      <c r="A635" s="118"/>
    </row>
    <row r="636">
      <c r="A636" s="118"/>
    </row>
    <row r="637">
      <c r="A637" s="118"/>
    </row>
    <row r="638">
      <c r="A638" s="118"/>
    </row>
    <row r="639">
      <c r="A639" s="118"/>
    </row>
    <row r="640">
      <c r="A640" s="118"/>
    </row>
    <row r="641">
      <c r="A641" s="118"/>
    </row>
    <row r="642">
      <c r="A642" s="118"/>
    </row>
    <row r="643">
      <c r="A643" s="118"/>
    </row>
    <row r="644">
      <c r="A644" s="118"/>
    </row>
    <row r="645">
      <c r="A645" s="118"/>
    </row>
    <row r="646">
      <c r="A646" s="118"/>
    </row>
    <row r="647">
      <c r="A647" s="118"/>
    </row>
    <row r="648">
      <c r="A648" s="118"/>
    </row>
    <row r="649">
      <c r="A649" s="118"/>
    </row>
    <row r="650">
      <c r="A650" s="118"/>
    </row>
    <row r="651">
      <c r="A651" s="118"/>
    </row>
    <row r="652">
      <c r="A652" s="118"/>
    </row>
    <row r="653">
      <c r="A653" s="118"/>
    </row>
    <row r="654">
      <c r="A654" s="118"/>
    </row>
    <row r="655">
      <c r="A655" s="118"/>
    </row>
    <row r="656">
      <c r="A656" s="118"/>
    </row>
    <row r="657">
      <c r="A657" s="118"/>
    </row>
    <row r="658">
      <c r="A658" s="118"/>
    </row>
    <row r="659">
      <c r="A659" s="118"/>
    </row>
    <row r="660">
      <c r="A660" s="118"/>
    </row>
    <row r="661">
      <c r="A661" s="118"/>
    </row>
    <row r="662">
      <c r="A662" s="118"/>
    </row>
    <row r="663">
      <c r="A663" s="118"/>
    </row>
    <row r="664">
      <c r="A664" s="118"/>
    </row>
    <row r="665">
      <c r="A665" s="118"/>
    </row>
    <row r="666">
      <c r="A666" s="118"/>
    </row>
    <row r="667">
      <c r="A667" s="118"/>
    </row>
    <row r="668">
      <c r="A668" s="118"/>
    </row>
    <row r="669">
      <c r="A669" s="118"/>
    </row>
    <row r="670">
      <c r="A670" s="118"/>
    </row>
    <row r="671">
      <c r="A671" s="118"/>
    </row>
    <row r="672">
      <c r="A672" s="118"/>
    </row>
    <row r="673">
      <c r="A673" s="118"/>
    </row>
    <row r="674">
      <c r="A674" s="118"/>
    </row>
    <row r="675">
      <c r="A675" s="118"/>
    </row>
    <row r="676">
      <c r="A676" s="118"/>
    </row>
    <row r="677">
      <c r="A677" s="118"/>
    </row>
    <row r="678">
      <c r="A678" s="118"/>
    </row>
    <row r="679">
      <c r="A679" s="118"/>
    </row>
    <row r="680">
      <c r="A680" s="118"/>
    </row>
    <row r="681">
      <c r="A681" s="118"/>
    </row>
    <row r="682">
      <c r="A682" s="118"/>
    </row>
    <row r="683">
      <c r="A683" s="118"/>
    </row>
    <row r="684">
      <c r="A684" s="118"/>
    </row>
    <row r="685">
      <c r="A685" s="118"/>
    </row>
    <row r="686">
      <c r="A686" s="118"/>
    </row>
    <row r="687">
      <c r="A687" s="118"/>
    </row>
    <row r="688">
      <c r="A688" s="118"/>
    </row>
    <row r="689">
      <c r="A689" s="118"/>
    </row>
    <row r="690">
      <c r="A690" s="118"/>
    </row>
    <row r="691">
      <c r="A691" s="118"/>
    </row>
    <row r="692">
      <c r="A692" s="118"/>
    </row>
    <row r="693">
      <c r="A693" s="118"/>
    </row>
    <row r="694">
      <c r="A694" s="118"/>
    </row>
    <row r="695">
      <c r="A695" s="118"/>
    </row>
    <row r="696">
      <c r="A696" s="118"/>
    </row>
    <row r="697">
      <c r="A697" s="118"/>
    </row>
    <row r="698">
      <c r="A698" s="118"/>
    </row>
    <row r="699">
      <c r="A699" s="118"/>
    </row>
    <row r="700">
      <c r="A700" s="118"/>
    </row>
    <row r="701">
      <c r="A701" s="118"/>
    </row>
    <row r="702">
      <c r="A702" s="118"/>
    </row>
    <row r="703">
      <c r="A703" s="118"/>
    </row>
    <row r="704">
      <c r="A704" s="118"/>
    </row>
    <row r="705">
      <c r="A705" s="118"/>
    </row>
    <row r="706">
      <c r="A706" s="118"/>
    </row>
    <row r="707">
      <c r="A707" s="118"/>
    </row>
    <row r="708">
      <c r="A708" s="118"/>
    </row>
    <row r="709">
      <c r="A709" s="118"/>
    </row>
    <row r="710">
      <c r="A710" s="118"/>
    </row>
    <row r="711">
      <c r="A711" s="118"/>
    </row>
    <row r="712">
      <c r="A712" s="118"/>
    </row>
    <row r="713">
      <c r="A713" s="118"/>
    </row>
    <row r="714">
      <c r="A714" s="118"/>
    </row>
    <row r="715">
      <c r="A715" s="118"/>
    </row>
    <row r="716">
      <c r="A716" s="118"/>
    </row>
    <row r="717">
      <c r="A717" s="118"/>
    </row>
    <row r="718">
      <c r="A718" s="118"/>
    </row>
    <row r="719">
      <c r="A719" s="118"/>
    </row>
    <row r="720">
      <c r="A720" s="118"/>
    </row>
    <row r="721">
      <c r="A721" s="118"/>
    </row>
    <row r="722">
      <c r="A722" s="118"/>
    </row>
    <row r="723">
      <c r="A723" s="118"/>
    </row>
    <row r="724">
      <c r="A724" s="118"/>
    </row>
    <row r="725">
      <c r="A725" s="118"/>
    </row>
    <row r="726">
      <c r="A726" s="118"/>
    </row>
    <row r="727">
      <c r="A727" s="118"/>
    </row>
    <row r="728">
      <c r="A728" s="118"/>
    </row>
    <row r="729">
      <c r="A729" s="118"/>
    </row>
    <row r="730">
      <c r="A730" s="118"/>
    </row>
    <row r="731">
      <c r="A731" s="118"/>
    </row>
    <row r="732">
      <c r="A732" s="118"/>
    </row>
    <row r="733">
      <c r="A733" s="118"/>
    </row>
    <row r="734">
      <c r="A734" s="118"/>
    </row>
    <row r="735">
      <c r="A735" s="118"/>
    </row>
    <row r="736">
      <c r="A736" s="118"/>
    </row>
    <row r="737">
      <c r="A737" s="118"/>
    </row>
    <row r="738">
      <c r="A738" s="118"/>
    </row>
    <row r="739">
      <c r="A739" s="118"/>
    </row>
    <row r="740">
      <c r="A740" s="118"/>
    </row>
    <row r="741">
      <c r="A741" s="118"/>
    </row>
    <row r="742">
      <c r="A742" s="118"/>
    </row>
    <row r="743">
      <c r="A743" s="118"/>
    </row>
    <row r="744">
      <c r="A744" s="118"/>
    </row>
    <row r="745">
      <c r="A745" s="118"/>
    </row>
    <row r="746">
      <c r="A746" s="118"/>
    </row>
    <row r="747">
      <c r="A747" s="118"/>
    </row>
    <row r="748">
      <c r="A748" s="118"/>
    </row>
    <row r="749">
      <c r="A749" s="118"/>
    </row>
    <row r="750">
      <c r="A750" s="118"/>
    </row>
    <row r="751">
      <c r="A751" s="118"/>
    </row>
    <row r="752">
      <c r="A752" s="118"/>
    </row>
    <row r="753">
      <c r="A753" s="118"/>
    </row>
    <row r="754">
      <c r="A754" s="118"/>
    </row>
    <row r="755">
      <c r="A755" s="118"/>
    </row>
    <row r="756">
      <c r="A756" s="118"/>
    </row>
    <row r="757">
      <c r="A757" s="118"/>
    </row>
    <row r="758">
      <c r="A758" s="118"/>
    </row>
    <row r="759">
      <c r="A759" s="118"/>
    </row>
    <row r="760">
      <c r="A760" s="118"/>
    </row>
    <row r="761">
      <c r="A761" s="118"/>
    </row>
    <row r="762">
      <c r="A762" s="118"/>
    </row>
    <row r="763">
      <c r="A763" s="118"/>
    </row>
    <row r="764">
      <c r="A764" s="118"/>
    </row>
    <row r="765">
      <c r="A765" s="118"/>
    </row>
    <row r="766">
      <c r="A766" s="118"/>
    </row>
    <row r="767">
      <c r="A767" s="118"/>
    </row>
    <row r="768">
      <c r="A768" s="118"/>
    </row>
    <row r="769">
      <c r="A769" s="118"/>
    </row>
    <row r="770">
      <c r="A770" s="118"/>
    </row>
    <row r="771">
      <c r="A771" s="118"/>
    </row>
    <row r="772">
      <c r="A772" s="118"/>
    </row>
    <row r="773">
      <c r="A773" s="118"/>
    </row>
    <row r="774">
      <c r="A774" s="118"/>
    </row>
    <row r="775">
      <c r="A775" s="118"/>
    </row>
    <row r="776">
      <c r="A776" s="118"/>
    </row>
    <row r="777">
      <c r="A777" s="118"/>
    </row>
    <row r="778">
      <c r="A778" s="118"/>
    </row>
    <row r="779">
      <c r="A779" s="118"/>
    </row>
    <row r="780">
      <c r="A780" s="118"/>
    </row>
    <row r="781">
      <c r="A781" s="118"/>
    </row>
    <row r="782">
      <c r="A782" s="118"/>
    </row>
    <row r="783">
      <c r="A783" s="118"/>
    </row>
    <row r="784">
      <c r="A784" s="118"/>
    </row>
    <row r="785">
      <c r="A785" s="118"/>
    </row>
    <row r="786">
      <c r="A786" s="118"/>
    </row>
    <row r="787">
      <c r="A787" s="118"/>
    </row>
    <row r="788">
      <c r="A788" s="118"/>
    </row>
    <row r="789">
      <c r="A789" s="118"/>
    </row>
    <row r="790">
      <c r="A790" s="118"/>
    </row>
    <row r="791">
      <c r="A791" s="118"/>
    </row>
    <row r="792">
      <c r="A792" s="118"/>
    </row>
    <row r="793">
      <c r="A793" s="118"/>
    </row>
    <row r="794">
      <c r="A794" s="118"/>
    </row>
    <row r="795">
      <c r="A795" s="118"/>
    </row>
    <row r="796">
      <c r="A796" s="118"/>
    </row>
    <row r="797">
      <c r="A797" s="118"/>
    </row>
    <row r="798">
      <c r="A798" s="118"/>
    </row>
    <row r="799">
      <c r="A799" s="118"/>
    </row>
    <row r="800">
      <c r="A800" s="118"/>
    </row>
    <row r="801">
      <c r="A801" s="118"/>
    </row>
    <row r="802">
      <c r="A802" s="118"/>
    </row>
    <row r="803">
      <c r="A803" s="118"/>
    </row>
    <row r="804">
      <c r="A804" s="118"/>
    </row>
    <row r="805">
      <c r="A805" s="118"/>
    </row>
    <row r="806">
      <c r="A806" s="118"/>
    </row>
    <row r="807">
      <c r="A807" s="118"/>
    </row>
    <row r="808">
      <c r="A808" s="118"/>
    </row>
    <row r="809">
      <c r="A809" s="118"/>
    </row>
    <row r="810">
      <c r="A810" s="118"/>
    </row>
    <row r="811">
      <c r="A811" s="118"/>
    </row>
    <row r="812">
      <c r="A812" s="118"/>
    </row>
    <row r="813">
      <c r="A813" s="118"/>
    </row>
    <row r="814">
      <c r="A814" s="118"/>
    </row>
    <row r="815">
      <c r="A815" s="118"/>
    </row>
    <row r="816">
      <c r="A816" s="118"/>
    </row>
    <row r="817">
      <c r="A817" s="118"/>
    </row>
    <row r="818">
      <c r="A818" s="118"/>
    </row>
    <row r="819">
      <c r="A819" s="118"/>
    </row>
    <row r="820">
      <c r="A820" s="118"/>
    </row>
    <row r="821">
      <c r="A821" s="118"/>
    </row>
    <row r="822">
      <c r="A822" s="118"/>
    </row>
    <row r="823">
      <c r="A823" s="118"/>
    </row>
    <row r="824">
      <c r="A824" s="118"/>
    </row>
    <row r="825">
      <c r="A825" s="118"/>
    </row>
    <row r="826">
      <c r="A826" s="118"/>
    </row>
    <row r="827">
      <c r="A827" s="118"/>
    </row>
    <row r="828">
      <c r="A828" s="118"/>
    </row>
    <row r="829">
      <c r="A829" s="118"/>
    </row>
    <row r="830">
      <c r="A830" s="118"/>
    </row>
    <row r="831">
      <c r="A831" s="118"/>
    </row>
    <row r="832">
      <c r="A832" s="118"/>
    </row>
    <row r="833">
      <c r="A833" s="118"/>
    </row>
    <row r="834">
      <c r="A834" s="118"/>
    </row>
    <row r="835">
      <c r="A835" s="118"/>
    </row>
    <row r="836">
      <c r="A836" s="118"/>
    </row>
    <row r="837">
      <c r="A837" s="118"/>
    </row>
    <row r="838">
      <c r="A838" s="118"/>
    </row>
    <row r="839">
      <c r="A839" s="118"/>
    </row>
    <row r="840">
      <c r="A840" s="118"/>
    </row>
    <row r="841">
      <c r="A841" s="118"/>
    </row>
    <row r="842">
      <c r="A842" s="118"/>
    </row>
    <row r="843">
      <c r="A843" s="118"/>
    </row>
    <row r="844">
      <c r="A844" s="118"/>
    </row>
    <row r="845">
      <c r="A845" s="118"/>
    </row>
    <row r="846">
      <c r="A846" s="118"/>
    </row>
    <row r="847">
      <c r="A847" s="118"/>
    </row>
    <row r="848">
      <c r="A848" s="118"/>
    </row>
    <row r="849">
      <c r="A849" s="118"/>
    </row>
    <row r="850">
      <c r="A850" s="118"/>
    </row>
    <row r="851">
      <c r="A851" s="118"/>
    </row>
    <row r="852">
      <c r="A852" s="118"/>
    </row>
    <row r="853">
      <c r="A853" s="118"/>
    </row>
    <row r="854">
      <c r="A854" s="118"/>
    </row>
    <row r="855">
      <c r="A855" s="118"/>
    </row>
    <row r="856">
      <c r="A856" s="118"/>
    </row>
    <row r="857">
      <c r="A857" s="118"/>
    </row>
    <row r="858">
      <c r="A858" s="118"/>
    </row>
    <row r="859">
      <c r="A859" s="118"/>
    </row>
    <row r="860">
      <c r="A860" s="118"/>
    </row>
    <row r="861">
      <c r="A861" s="118"/>
    </row>
    <row r="862">
      <c r="A862" s="118"/>
    </row>
    <row r="863">
      <c r="A863" s="118"/>
    </row>
    <row r="864">
      <c r="A864" s="118"/>
    </row>
    <row r="865">
      <c r="A865" s="118"/>
    </row>
    <row r="866">
      <c r="A866" s="118"/>
    </row>
    <row r="867">
      <c r="A867" s="118"/>
    </row>
    <row r="868">
      <c r="A868" s="118"/>
    </row>
    <row r="869">
      <c r="A869" s="118"/>
    </row>
    <row r="870">
      <c r="A870" s="118"/>
    </row>
    <row r="871">
      <c r="A871" s="118"/>
    </row>
    <row r="872">
      <c r="A872" s="118"/>
    </row>
    <row r="873">
      <c r="A873" s="118"/>
    </row>
    <row r="874">
      <c r="A874" s="118"/>
    </row>
    <row r="875">
      <c r="A875" s="118"/>
    </row>
    <row r="876">
      <c r="A876" s="118"/>
    </row>
    <row r="877">
      <c r="A877" s="118"/>
    </row>
    <row r="878">
      <c r="A878" s="118"/>
    </row>
    <row r="879">
      <c r="A879" s="118"/>
    </row>
    <row r="880">
      <c r="A880" s="118"/>
    </row>
    <row r="881">
      <c r="A881" s="118"/>
    </row>
    <row r="882">
      <c r="A882" s="118"/>
    </row>
    <row r="883">
      <c r="A883" s="118"/>
    </row>
    <row r="884">
      <c r="A884" s="118"/>
    </row>
    <row r="885">
      <c r="A885" s="118"/>
    </row>
    <row r="886">
      <c r="A886" s="118"/>
    </row>
    <row r="887">
      <c r="A887" s="118"/>
    </row>
    <row r="888">
      <c r="A888" s="118"/>
    </row>
    <row r="889">
      <c r="A889" s="118"/>
    </row>
    <row r="890">
      <c r="A890" s="118"/>
    </row>
    <row r="891">
      <c r="A891" s="118"/>
    </row>
    <row r="892">
      <c r="A892" s="118"/>
    </row>
    <row r="893">
      <c r="A893" s="118"/>
    </row>
    <row r="894">
      <c r="A894" s="118"/>
    </row>
    <row r="895">
      <c r="A895" s="118"/>
    </row>
    <row r="896">
      <c r="A896" s="118"/>
    </row>
    <row r="897">
      <c r="A897" s="118"/>
    </row>
    <row r="898">
      <c r="A898" s="118"/>
    </row>
    <row r="899">
      <c r="A899" s="118"/>
    </row>
    <row r="900">
      <c r="A900" s="118"/>
    </row>
    <row r="901">
      <c r="A901" s="118"/>
    </row>
    <row r="902">
      <c r="A902" s="118"/>
    </row>
    <row r="903">
      <c r="A903" s="118"/>
    </row>
    <row r="904">
      <c r="A904" s="118"/>
    </row>
    <row r="905">
      <c r="A905" s="118"/>
    </row>
    <row r="906">
      <c r="A906" s="118"/>
    </row>
    <row r="907">
      <c r="A907" s="118"/>
    </row>
    <row r="908">
      <c r="A908" s="118"/>
    </row>
    <row r="909">
      <c r="A909" s="118"/>
    </row>
    <row r="910">
      <c r="A910" s="118"/>
    </row>
    <row r="911">
      <c r="A911" s="118"/>
    </row>
    <row r="912">
      <c r="A912" s="118"/>
    </row>
    <row r="913">
      <c r="A913" s="118"/>
    </row>
    <row r="914">
      <c r="A914" s="118"/>
    </row>
    <row r="915">
      <c r="A915" s="118"/>
    </row>
    <row r="916">
      <c r="A916" s="118"/>
    </row>
    <row r="917">
      <c r="A917" s="118"/>
    </row>
    <row r="918">
      <c r="A918" s="118"/>
    </row>
    <row r="919">
      <c r="A919" s="118"/>
    </row>
    <row r="920">
      <c r="A920" s="118"/>
    </row>
    <row r="921">
      <c r="A921" s="118"/>
    </row>
    <row r="922">
      <c r="A922" s="118"/>
    </row>
    <row r="923">
      <c r="A923" s="118"/>
    </row>
    <row r="924">
      <c r="A924" s="118"/>
    </row>
    <row r="925">
      <c r="A925" s="118"/>
    </row>
    <row r="926">
      <c r="A926" s="118"/>
    </row>
    <row r="927">
      <c r="A927" s="118"/>
    </row>
    <row r="928">
      <c r="A928" s="118"/>
    </row>
    <row r="929">
      <c r="A929" s="118"/>
    </row>
    <row r="930">
      <c r="A930" s="118"/>
    </row>
    <row r="931">
      <c r="A931" s="118"/>
    </row>
    <row r="932">
      <c r="A932" s="118"/>
    </row>
    <row r="933">
      <c r="A933" s="118"/>
    </row>
    <row r="934">
      <c r="A934" s="118"/>
    </row>
    <row r="935">
      <c r="A935" s="118"/>
    </row>
    <row r="936">
      <c r="A936" s="118"/>
    </row>
    <row r="937">
      <c r="A937" s="118"/>
    </row>
    <row r="938">
      <c r="A938" s="118"/>
    </row>
    <row r="939">
      <c r="A939" s="118"/>
    </row>
    <row r="940">
      <c r="A940" s="118"/>
    </row>
    <row r="941">
      <c r="A941" s="118"/>
    </row>
    <row r="942">
      <c r="A942" s="118"/>
    </row>
    <row r="943">
      <c r="A943" s="118"/>
    </row>
    <row r="944">
      <c r="A944" s="118"/>
    </row>
    <row r="945">
      <c r="A945" s="118"/>
    </row>
    <row r="946">
      <c r="A946" s="118"/>
    </row>
    <row r="947">
      <c r="A947" s="118"/>
    </row>
    <row r="948">
      <c r="A948" s="118"/>
    </row>
    <row r="949">
      <c r="A949" s="118"/>
    </row>
    <row r="950">
      <c r="A950" s="118"/>
    </row>
    <row r="951">
      <c r="A951" s="118"/>
    </row>
    <row r="952">
      <c r="A952" s="118"/>
    </row>
    <row r="953">
      <c r="A953" s="118"/>
    </row>
    <row r="954">
      <c r="A954" s="118"/>
    </row>
    <row r="955">
      <c r="A955" s="118"/>
    </row>
    <row r="956">
      <c r="A956" s="118"/>
    </row>
    <row r="957">
      <c r="A957" s="118"/>
    </row>
    <row r="958">
      <c r="A958" s="118"/>
    </row>
    <row r="959">
      <c r="A959" s="118"/>
    </row>
    <row r="960">
      <c r="A960" s="118"/>
    </row>
    <row r="961">
      <c r="A961" s="118"/>
    </row>
    <row r="962">
      <c r="A962" s="118"/>
    </row>
    <row r="963">
      <c r="A963" s="118"/>
    </row>
    <row r="964">
      <c r="A964" s="118"/>
    </row>
    <row r="965">
      <c r="A965" s="118"/>
    </row>
    <row r="966">
      <c r="A966" s="118"/>
    </row>
    <row r="967">
      <c r="A967" s="118"/>
    </row>
    <row r="968">
      <c r="A968" s="118"/>
    </row>
    <row r="969">
      <c r="A969" s="118"/>
    </row>
    <row r="970">
      <c r="A970" s="118"/>
    </row>
    <row r="971">
      <c r="A971" s="118"/>
    </row>
    <row r="972">
      <c r="A972" s="118"/>
    </row>
    <row r="973">
      <c r="A973" s="118"/>
    </row>
    <row r="974">
      <c r="A974" s="118"/>
    </row>
    <row r="975">
      <c r="A975" s="118"/>
    </row>
    <row r="976">
      <c r="A976" s="118"/>
    </row>
    <row r="977">
      <c r="A977" s="118"/>
    </row>
    <row r="978">
      <c r="A978" s="118"/>
    </row>
    <row r="979">
      <c r="A979" s="118"/>
    </row>
    <row r="980">
      <c r="A980" s="118"/>
    </row>
    <row r="981">
      <c r="A981" s="118"/>
    </row>
    <row r="982">
      <c r="A982" s="118"/>
    </row>
    <row r="983">
      <c r="A983" s="118"/>
    </row>
    <row r="984">
      <c r="A984" s="118"/>
    </row>
    <row r="985">
      <c r="A985" s="118"/>
    </row>
    <row r="986">
      <c r="A986" s="118"/>
    </row>
    <row r="987">
      <c r="A987" s="118"/>
    </row>
    <row r="988">
      <c r="A988" s="118"/>
    </row>
    <row r="989">
      <c r="A989" s="118"/>
    </row>
    <row r="990">
      <c r="A990" s="118"/>
    </row>
    <row r="991">
      <c r="A991" s="118"/>
    </row>
  </sheetData>
  <mergeCells count="6">
    <mergeCell ref="G3:H3"/>
    <mergeCell ref="G4:H4"/>
    <mergeCell ref="G5:H5"/>
    <mergeCell ref="G6:H6"/>
    <mergeCell ref="B116:J116"/>
    <mergeCell ref="K116:S116"/>
  </mergeCells>
  <printOptions/>
  <pageMargins bottom="0.75" footer="0.0" header="0.0" left="0.7" right="0.7" top="0.75"/>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8.56"/>
    <col customWidth="1" min="2" max="2" width="19.78"/>
    <col customWidth="1" min="3" max="3" width="18.33"/>
    <col customWidth="1" min="4" max="4" width="17.0"/>
    <col customWidth="1" min="5" max="5" width="10.56"/>
    <col customWidth="1" min="6" max="6" width="20.33"/>
    <col customWidth="1" min="7" max="26" width="10.56"/>
  </cols>
  <sheetData>
    <row r="1">
      <c r="A1" s="233" t="s">
        <v>99</v>
      </c>
      <c r="B1" s="2"/>
      <c r="C1" s="2"/>
      <c r="D1" s="2"/>
    </row>
    <row r="2">
      <c r="A2" s="233" t="s">
        <v>102</v>
      </c>
      <c r="B2" s="2"/>
      <c r="C2" s="2"/>
      <c r="D2" s="2"/>
    </row>
    <row r="3">
      <c r="A3" s="233" t="s">
        <v>104</v>
      </c>
      <c r="B3" s="2"/>
      <c r="C3" s="2"/>
      <c r="D3" s="2"/>
    </row>
    <row r="4">
      <c r="A4" s="237"/>
    </row>
    <row r="5" ht="63.75" customHeight="1">
      <c r="A5" s="237" t="s">
        <v>107</v>
      </c>
    </row>
    <row r="6">
      <c r="A6" s="237" t="s">
        <v>108</v>
      </c>
    </row>
    <row r="7" ht="79.5" customHeight="1">
      <c r="A7" s="237" t="s">
        <v>109</v>
      </c>
    </row>
    <row r="8" ht="48.0" customHeight="1">
      <c r="A8" s="237" t="s">
        <v>110</v>
      </c>
    </row>
    <row r="9" ht="82.5" customHeight="1">
      <c r="A9" s="237" t="s">
        <v>111</v>
      </c>
    </row>
    <row r="10">
      <c r="A10" s="116" t="s">
        <v>112</v>
      </c>
      <c r="B10" s="2" t="s">
        <v>5</v>
      </c>
      <c r="C10" s="2" t="s">
        <v>7</v>
      </c>
      <c r="D10" s="2" t="s">
        <v>113</v>
      </c>
    </row>
    <row r="11">
      <c r="A11" s="116"/>
      <c r="B11" s="2" t="s">
        <v>114</v>
      </c>
      <c r="C11" s="2" t="s">
        <v>114</v>
      </c>
      <c r="D11" s="2" t="s">
        <v>114</v>
      </c>
    </row>
    <row r="12">
      <c r="A12" s="237" t="s">
        <v>115</v>
      </c>
      <c r="B12" s="244">
        <f>'Reduce Room Thermostat'!B22-'Reduce Room Thermostat'!B23</f>
        <v>1417.8</v>
      </c>
      <c r="C12" s="244">
        <f>'Reduce Room Thermostat'!C22-'Reduce Room Thermostat'!C23</f>
        <v>2101.68</v>
      </c>
      <c r="D12" s="248">
        <f>'Reduce Room Thermostat'!D22-'Reduce Room Thermostat'!D23</f>
        <v>1668</v>
      </c>
      <c r="E12" s="98" t="s">
        <v>118</v>
      </c>
    </row>
    <row r="13">
      <c r="A13" s="237" t="s">
        <v>119</v>
      </c>
      <c r="B13" s="252">
        <f>'Reduce Room Thermostat'!B22-'Reduce Room Thermostat'!B24</f>
        <v>2802.45</v>
      </c>
      <c r="C13" s="252">
        <f>'Reduce Room Thermostat'!C22-'Reduce Room Thermostat'!C24</f>
        <v>4154.22</v>
      </c>
      <c r="D13" s="255">
        <f>'Reduce Room Thermostat'!D22-'Reduce Room Thermostat'!D24</f>
        <v>3297</v>
      </c>
      <c r="E13" s="98" t="s">
        <v>118</v>
      </c>
    </row>
    <row r="14">
      <c r="A14" s="237"/>
      <c r="B14" s="257"/>
      <c r="C14" s="124"/>
      <c r="D14" s="258"/>
    </row>
    <row r="15">
      <c r="A15" s="237" t="s">
        <v>122</v>
      </c>
      <c r="B15" s="259">
        <v>0.85</v>
      </c>
      <c r="C15" s="260">
        <v>0.95</v>
      </c>
      <c r="D15" s="262">
        <v>0.9</v>
      </c>
      <c r="E15" s="98" t="s">
        <v>123</v>
      </c>
    </row>
    <row r="16">
      <c r="A16" s="237" t="s">
        <v>124</v>
      </c>
      <c r="B16" s="263">
        <f>(1-VulnerableHouseholdsLikely)*B15</f>
        <v>0.584248517</v>
      </c>
      <c r="C16" s="265">
        <f>(1-VulnerableHouseholdsLikely)*C15</f>
        <v>0.6529836367</v>
      </c>
      <c r="D16" s="268">
        <f>(1-VulnerableHouseholdsLikely)*D15</f>
        <v>0.6186160768</v>
      </c>
      <c r="E16" s="98" t="s">
        <v>125</v>
      </c>
    </row>
    <row r="17">
      <c r="A17" s="237" t="s">
        <v>126</v>
      </c>
      <c r="B17" s="259">
        <f t="shared" ref="B17:D17" si="1">B15*0.5</f>
        <v>0.425</v>
      </c>
      <c r="C17" s="260">
        <f t="shared" si="1"/>
        <v>0.475</v>
      </c>
      <c r="D17" s="262">
        <f t="shared" si="1"/>
        <v>0.45</v>
      </c>
      <c r="E17" s="98" t="s">
        <v>123</v>
      </c>
    </row>
    <row r="18">
      <c r="A18" s="237" t="s">
        <v>129</v>
      </c>
      <c r="B18" s="263">
        <f t="shared" ref="B18:D18" si="2">B16*0.5</f>
        <v>0.2921242585</v>
      </c>
      <c r="C18" s="265">
        <f t="shared" si="2"/>
        <v>0.3264918183</v>
      </c>
      <c r="D18" s="268">
        <f t="shared" si="2"/>
        <v>0.3093080384</v>
      </c>
      <c r="E18" s="98" t="s">
        <v>123</v>
      </c>
    </row>
    <row r="19">
      <c r="A19" s="237"/>
      <c r="B19" s="237"/>
      <c r="D19" s="237"/>
    </row>
    <row r="20">
      <c r="A20" s="116" t="s">
        <v>131</v>
      </c>
      <c r="B20" s="280" t="s">
        <v>133</v>
      </c>
      <c r="C20" s="280" t="s">
        <v>134</v>
      </c>
      <c r="D20" s="280" t="s">
        <v>135</v>
      </c>
      <c r="E20" s="2"/>
      <c r="G20" s="280" t="s">
        <v>133</v>
      </c>
      <c r="H20" s="280" t="s">
        <v>134</v>
      </c>
      <c r="I20" s="280" t="s">
        <v>135</v>
      </c>
    </row>
    <row r="21">
      <c r="G21" s="282" t="s">
        <v>114</v>
      </c>
    </row>
    <row r="22">
      <c r="A22" s="118" t="s">
        <v>138</v>
      </c>
      <c r="B22" s="284">
        <f t="shared" ref="B22:B24" si="3">D22*0.85</f>
        <v>12433.8</v>
      </c>
      <c r="C22" s="284">
        <f t="shared" ref="C22:C24" si="4">D22*1.26</f>
        <v>18431.28</v>
      </c>
      <c r="D22" s="284">
        <v>14628.0</v>
      </c>
      <c r="E22" s="98" t="s">
        <v>142</v>
      </c>
      <c r="F22" s="288"/>
      <c r="G22" s="290"/>
    </row>
    <row r="23">
      <c r="A23" s="118" t="s">
        <v>143</v>
      </c>
      <c r="B23" s="284">
        <f t="shared" si="3"/>
        <v>11016</v>
      </c>
      <c r="C23" s="284">
        <f t="shared" si="4"/>
        <v>16329.6</v>
      </c>
      <c r="D23" s="291">
        <v>12960.0</v>
      </c>
      <c r="E23" s="98" t="s">
        <v>142</v>
      </c>
      <c r="F23" s="288"/>
      <c r="G23" s="284">
        <f t="shared" ref="G23:I23" si="5">(B$22-B23)</f>
        <v>1417.8</v>
      </c>
      <c r="H23" s="284">
        <f t="shared" si="5"/>
        <v>2101.68</v>
      </c>
      <c r="I23" s="284">
        <f t="shared" si="5"/>
        <v>1668</v>
      </c>
    </row>
    <row r="24">
      <c r="A24" s="118" t="s">
        <v>146</v>
      </c>
      <c r="B24" s="284">
        <f t="shared" si="3"/>
        <v>9631.35</v>
      </c>
      <c r="C24" s="284">
        <f t="shared" si="4"/>
        <v>14277.06</v>
      </c>
      <c r="D24" s="284">
        <v>11331.0</v>
      </c>
      <c r="E24" s="98" t="s">
        <v>142</v>
      </c>
      <c r="F24" s="288"/>
      <c r="G24" s="284">
        <f t="shared" ref="G24:I24" si="6">(B$22-B24)</f>
        <v>2802.45</v>
      </c>
      <c r="H24" s="284">
        <f t="shared" si="6"/>
        <v>4154.22</v>
      </c>
      <c r="I24" s="284">
        <f t="shared" si="6"/>
        <v>3297</v>
      </c>
    </row>
    <row r="25">
      <c r="A25" s="118" t="s">
        <v>148</v>
      </c>
      <c r="B25" s="290">
        <v>0.9</v>
      </c>
      <c r="C25" s="290">
        <v>0.9</v>
      </c>
      <c r="D25" s="290">
        <v>0.9</v>
      </c>
      <c r="E25" s="98" t="s">
        <v>149</v>
      </c>
      <c r="F25" s="288"/>
    </row>
    <row r="26">
      <c r="A26" s="118"/>
      <c r="B26" s="290"/>
      <c r="C26" s="290"/>
      <c r="D26" s="290"/>
      <c r="F26" s="288"/>
    </row>
    <row r="27">
      <c r="A27" s="116" t="s">
        <v>30</v>
      </c>
      <c r="B27" s="280" t="s">
        <v>133</v>
      </c>
      <c r="C27" s="280" t="s">
        <v>134</v>
      </c>
      <c r="D27" s="280" t="s">
        <v>135</v>
      </c>
      <c r="E27" s="2"/>
      <c r="F27" s="288"/>
      <c r="G27" s="280" t="s">
        <v>133</v>
      </c>
      <c r="H27" s="280" t="s">
        <v>134</v>
      </c>
      <c r="I27" s="280" t="s">
        <v>135</v>
      </c>
    </row>
    <row r="28">
      <c r="F28" s="288"/>
      <c r="G28" s="282" t="s">
        <v>114</v>
      </c>
    </row>
    <row r="29">
      <c r="A29" s="118" t="s">
        <v>138</v>
      </c>
      <c r="B29" s="284">
        <f t="shared" ref="B29:B31" si="7">D29*0.85</f>
        <v>7472.857623</v>
      </c>
      <c r="C29" s="284">
        <f t="shared" ref="C29:C31" si="8">D29*1.26</f>
        <v>11077.41248</v>
      </c>
      <c r="D29" s="284">
        <f>D$22/14628*Assumptions!B$40*gasBillPropSpace</f>
        <v>8791.597204</v>
      </c>
      <c r="E29" s="98" t="s">
        <v>153</v>
      </c>
      <c r="F29" s="288"/>
      <c r="G29" s="290"/>
    </row>
    <row r="30">
      <c r="A30" s="118" t="s">
        <v>143</v>
      </c>
      <c r="B30" s="284">
        <f t="shared" si="7"/>
        <v>6620.743423</v>
      </c>
      <c r="C30" s="284">
        <f t="shared" si="8"/>
        <v>9814.278486</v>
      </c>
      <c r="D30" s="284">
        <f>D23/14628*Assumptions!B$40*gasBillPropSpace</f>
        <v>7789.10991</v>
      </c>
      <c r="E30" s="98" t="s">
        <v>153</v>
      </c>
      <c r="F30" s="288"/>
      <c r="G30" s="284">
        <f t="shared" ref="G30:I30" si="9">(B$29-B30)</f>
        <v>852.1141999</v>
      </c>
      <c r="H30" s="284">
        <f t="shared" si="9"/>
        <v>1263.13399</v>
      </c>
      <c r="I30" s="284">
        <f t="shared" si="9"/>
        <v>1002.487294</v>
      </c>
    </row>
    <row r="31">
      <c r="A31" s="118" t="s">
        <v>146</v>
      </c>
      <c r="B31" s="284">
        <f t="shared" si="7"/>
        <v>5788.552757</v>
      </c>
      <c r="C31" s="284">
        <f t="shared" si="8"/>
        <v>8580.678204</v>
      </c>
      <c r="D31" s="284">
        <f>D24/14628*Assumptions!B$40*gasBillPropSpace</f>
        <v>6810.062067</v>
      </c>
      <c r="E31" s="98" t="s">
        <v>153</v>
      </c>
      <c r="F31" s="288"/>
      <c r="G31" s="284">
        <f t="shared" ref="G31:I31" si="10">(B$29-B31)</f>
        <v>1684.304866</v>
      </c>
      <c r="H31" s="284">
        <f t="shared" si="10"/>
        <v>2496.734272</v>
      </c>
      <c r="I31" s="284">
        <f t="shared" si="10"/>
        <v>1981.535137</v>
      </c>
    </row>
    <row r="32">
      <c r="A32" s="118"/>
      <c r="B32" s="290"/>
      <c r="C32" s="290"/>
      <c r="D32" s="290"/>
      <c r="F32" s="288"/>
    </row>
    <row r="33">
      <c r="A33" s="116" t="s">
        <v>31</v>
      </c>
      <c r="B33" s="280" t="s">
        <v>133</v>
      </c>
      <c r="C33" s="280" t="s">
        <v>134</v>
      </c>
      <c r="D33" s="280" t="s">
        <v>135</v>
      </c>
      <c r="E33" s="2"/>
      <c r="F33" s="288"/>
      <c r="G33" s="280" t="s">
        <v>133</v>
      </c>
      <c r="H33" s="280" t="s">
        <v>134</v>
      </c>
      <c r="I33" s="280" t="s">
        <v>135</v>
      </c>
    </row>
    <row r="34">
      <c r="F34" s="288"/>
      <c r="G34" s="282" t="s">
        <v>114</v>
      </c>
    </row>
    <row r="35">
      <c r="A35" s="118" t="s">
        <v>138</v>
      </c>
      <c r="B35" s="284">
        <f t="shared" ref="B35:B37" si="11">D35*0.85</f>
        <v>12504.01283</v>
      </c>
      <c r="C35" s="284">
        <f t="shared" ref="C35:C37" si="12">D35*1.26</f>
        <v>18535.3602</v>
      </c>
      <c r="D35" s="284">
        <f>D$22/14628*Assumptions!B$55*gasBillPropSpace</f>
        <v>14710.60333</v>
      </c>
      <c r="E35" s="98" t="s">
        <v>153</v>
      </c>
      <c r="F35" s="288"/>
      <c r="G35" s="290"/>
    </row>
    <row r="36">
      <c r="A36" s="118" t="s">
        <v>143</v>
      </c>
      <c r="B36" s="284">
        <f t="shared" si="11"/>
        <v>11078.20661</v>
      </c>
      <c r="C36" s="284">
        <f t="shared" si="12"/>
        <v>16421.81215</v>
      </c>
      <c r="D36" s="284">
        <f>D23/14628*Assumptions!B$55*gasBillPropSpace</f>
        <v>13033.18425</v>
      </c>
      <c r="E36" s="98" t="s">
        <v>153</v>
      </c>
      <c r="F36" s="288"/>
      <c r="G36" s="284">
        <f t="shared" ref="G36:I36" si="13">(B$35-B36)</f>
        <v>1425.806221</v>
      </c>
      <c r="H36" s="284">
        <f t="shared" si="13"/>
        <v>2113.548046</v>
      </c>
      <c r="I36" s="284">
        <f t="shared" si="13"/>
        <v>1677.419084</v>
      </c>
    </row>
    <row r="37">
      <c r="A37" s="118" t="s">
        <v>146</v>
      </c>
      <c r="B37" s="284">
        <f t="shared" si="11"/>
        <v>9685.737586</v>
      </c>
      <c r="C37" s="284">
        <f t="shared" si="12"/>
        <v>14357.6816</v>
      </c>
      <c r="D37" s="284">
        <f>D24/14628*Assumptions!B$55*gasBillPropSpace</f>
        <v>11394.98539</v>
      </c>
      <c r="E37" s="98" t="s">
        <v>153</v>
      </c>
      <c r="F37" s="288"/>
      <c r="G37" s="284">
        <f t="shared" ref="G37:I37" si="14">(B$35-B37)</f>
        <v>2818.275247</v>
      </c>
      <c r="H37" s="284">
        <f t="shared" si="14"/>
        <v>4177.678601</v>
      </c>
      <c r="I37" s="284">
        <f t="shared" si="14"/>
        <v>3315.617937</v>
      </c>
    </row>
    <row r="38">
      <c r="A38" s="118"/>
      <c r="B38" s="290"/>
      <c r="C38" s="290"/>
      <c r="D38" s="290"/>
      <c r="F38" s="288"/>
    </row>
    <row r="39">
      <c r="A39" s="116" t="s">
        <v>32</v>
      </c>
      <c r="B39" s="280" t="s">
        <v>133</v>
      </c>
      <c r="C39" s="280" t="s">
        <v>134</v>
      </c>
      <c r="D39" s="280" t="s">
        <v>135</v>
      </c>
      <c r="E39" s="2"/>
      <c r="F39" s="288"/>
      <c r="G39" s="280" t="s">
        <v>133</v>
      </c>
      <c r="H39" s="280" t="s">
        <v>134</v>
      </c>
      <c r="I39" s="280" t="s">
        <v>135</v>
      </c>
    </row>
    <row r="40">
      <c r="F40" s="288"/>
      <c r="G40" s="282" t="s">
        <v>114</v>
      </c>
    </row>
    <row r="41">
      <c r="A41" s="118" t="s">
        <v>138</v>
      </c>
      <c r="B41" s="284">
        <f t="shared" ref="B41:B43" si="15">D41*0.85</f>
        <v>4804.434797</v>
      </c>
      <c r="C41" s="284">
        <f t="shared" ref="C41:C43" si="16">D41*1.26</f>
        <v>7121.868052</v>
      </c>
      <c r="D41" s="284">
        <f>D22/14628*Assumptions!B$70*gasBillPropSpace</f>
        <v>5652.276232</v>
      </c>
      <c r="E41" s="98" t="s">
        <v>153</v>
      </c>
      <c r="F41" s="288"/>
      <c r="G41" s="290"/>
    </row>
    <row r="42">
      <c r="A42" s="118" t="s">
        <v>143</v>
      </c>
      <c r="B42" s="284">
        <f t="shared" si="15"/>
        <v>4256.595226</v>
      </c>
      <c r="C42" s="284">
        <f t="shared" si="16"/>
        <v>6309.776453</v>
      </c>
      <c r="D42" s="284">
        <f>D23/14628*Assumptions!B$70*gasBillPropSpace</f>
        <v>5007.75909</v>
      </c>
      <c r="E42" s="98" t="s">
        <v>153</v>
      </c>
      <c r="F42" s="288"/>
      <c r="G42" s="284">
        <f t="shared" ref="G42:I42" si="17">(B$41-B42)</f>
        <v>547.8395708</v>
      </c>
      <c r="H42" s="284">
        <f t="shared" si="17"/>
        <v>812.0915991</v>
      </c>
      <c r="I42" s="284">
        <f t="shared" si="17"/>
        <v>644.5171421</v>
      </c>
    </row>
    <row r="43">
      <c r="A43" s="118" t="s">
        <v>146</v>
      </c>
      <c r="B43" s="284">
        <f t="shared" si="15"/>
        <v>3721.564854</v>
      </c>
      <c r="C43" s="284">
        <f t="shared" si="16"/>
        <v>5516.672607</v>
      </c>
      <c r="D43" s="284">
        <f>D24/14628*Assumptions!B$70*gasBillPropSpace</f>
        <v>4378.311593</v>
      </c>
      <c r="E43" s="98" t="s">
        <v>153</v>
      </c>
      <c r="F43" s="288"/>
      <c r="G43" s="284">
        <f t="shared" ref="G43:I43" si="18">(B$41-B43)</f>
        <v>1082.869943</v>
      </c>
      <c r="H43" s="284">
        <f t="shared" si="18"/>
        <v>1605.195445</v>
      </c>
      <c r="I43" s="284">
        <f t="shared" si="18"/>
        <v>1273.964639</v>
      </c>
    </row>
    <row r="44">
      <c r="A44" s="118"/>
      <c r="B44" s="290"/>
      <c r="C44" s="290"/>
      <c r="D44" s="290"/>
    </row>
    <row r="45">
      <c r="A45" s="237"/>
      <c r="B45" s="237"/>
      <c r="C45" s="237"/>
      <c r="D45" s="237"/>
    </row>
    <row r="46">
      <c r="A46" s="237"/>
      <c r="B46" s="237"/>
      <c r="C46" s="237"/>
      <c r="D46" s="237"/>
    </row>
    <row r="47">
      <c r="A47" s="237"/>
      <c r="B47" s="237"/>
      <c r="C47" s="237"/>
      <c r="D47" s="237"/>
    </row>
    <row r="48">
      <c r="A48" s="237"/>
      <c r="B48" s="237"/>
      <c r="C48" s="237"/>
      <c r="D48" s="237"/>
    </row>
    <row r="49">
      <c r="A49" s="237"/>
      <c r="B49" s="237"/>
      <c r="C49" s="237"/>
      <c r="D49" s="237"/>
    </row>
    <row r="50">
      <c r="A50" s="237"/>
    </row>
    <row r="51">
      <c r="A51" s="237"/>
    </row>
    <row r="52">
      <c r="A52" s="116" t="s">
        <v>169</v>
      </c>
      <c r="B52" s="322" t="s">
        <v>5</v>
      </c>
      <c r="C52" s="323" t="s">
        <v>6</v>
      </c>
      <c r="D52" s="324" t="s">
        <v>7</v>
      </c>
    </row>
    <row r="53">
      <c r="A53" s="326" t="s">
        <v>170</v>
      </c>
      <c r="B53" s="327">
        <f>G30/MeanDomesticGasBill2022</f>
        <v>0.07261924321</v>
      </c>
      <c r="C53" s="328">
        <f>I30/MeanDomesticGasBill2022</f>
        <v>0.08543440378</v>
      </c>
      <c r="D53" s="329">
        <f>H30/MeanDomesticGasBill2022</f>
        <v>0.1076473488</v>
      </c>
      <c r="E53" s="118"/>
      <c r="F53" s="330"/>
      <c r="G53" s="330"/>
      <c r="H53" s="330"/>
    </row>
    <row r="54">
      <c r="A54" s="326" t="s">
        <v>172</v>
      </c>
      <c r="B54" s="331">
        <f>G31/MeanDomesticGasBill2022</f>
        <v>0.1435405545</v>
      </c>
      <c r="C54" s="332">
        <f>I31/MeanDomesticGasBill2022</f>
        <v>0.1688712406</v>
      </c>
      <c r="D54" s="333">
        <f>H31/MeanDomesticGasBill2022</f>
        <v>0.2127777631</v>
      </c>
      <c r="E54" s="118"/>
    </row>
    <row r="55">
      <c r="A55" s="199"/>
      <c r="E55" s="118"/>
    </row>
    <row r="56">
      <c r="A56" s="116" t="s">
        <v>174</v>
      </c>
      <c r="B56" s="334" t="s">
        <v>114</v>
      </c>
      <c r="C56" s="4"/>
      <c r="D56" s="5"/>
      <c r="E56" s="334" t="s">
        <v>175</v>
      </c>
      <c r="F56" s="4"/>
      <c r="G56" s="5"/>
      <c r="H56" s="335" t="s">
        <v>177</v>
      </c>
    </row>
    <row r="57">
      <c r="A57" s="116"/>
      <c r="B57" s="337" t="s">
        <v>5</v>
      </c>
      <c r="C57" s="338" t="s">
        <v>6</v>
      </c>
      <c r="D57" s="339" t="s">
        <v>7</v>
      </c>
      <c r="E57" s="337" t="s">
        <v>5</v>
      </c>
      <c r="F57" s="338" t="s">
        <v>6</v>
      </c>
      <c r="G57" s="339" t="s">
        <v>7</v>
      </c>
      <c r="H57" s="340"/>
    </row>
    <row r="58">
      <c r="A58" s="120" t="s">
        <v>178</v>
      </c>
      <c r="B58" s="341">
        <f>B$53*MeanDomesticGasBill</f>
        <v>717.2004519</v>
      </c>
      <c r="C58" s="342">
        <f>C$53*MeanDomesticGasBill</f>
        <v>843.7652375</v>
      </c>
      <c r="D58" s="343">
        <f>D$53*MeanDomesticGasBill</f>
        <v>1063.144199</v>
      </c>
      <c r="E58" s="344">
        <f>ROUND(B58*gasPricePerkWh/100,0)</f>
        <v>57</v>
      </c>
      <c r="F58" s="345">
        <f>ROUND(C58*gasPricePerkWh/100,0)</f>
        <v>67</v>
      </c>
      <c r="G58" s="348">
        <f>ROUND(D58*gasPricePerkWh/100,0)</f>
        <v>85</v>
      </c>
      <c r="H58" s="351">
        <f>propHomesGasHeating</f>
        <v>0.8357316177</v>
      </c>
    </row>
    <row r="59">
      <c r="A59" s="124" t="s">
        <v>182</v>
      </c>
      <c r="B59" s="341">
        <f>B$53*MeanDomesticOilBill</f>
        <v>1204.604375</v>
      </c>
      <c r="C59" s="342">
        <f>C$53*MeanDomesticOilBill</f>
        <v>1417.181618</v>
      </c>
      <c r="D59" s="343">
        <f>D$53*MeanDomesticOilBill</f>
        <v>1785.648839</v>
      </c>
      <c r="E59" s="344">
        <f>ROUND(B59*oilPriceP/100,0)</f>
        <v>116</v>
      </c>
      <c r="F59" s="345">
        <f>ROUND(C59*oilPriceP/100,0)</f>
        <v>137</v>
      </c>
      <c r="G59" s="348">
        <f>ROUND(D59*oilPriceP/100,0)</f>
        <v>173</v>
      </c>
      <c r="H59" s="351">
        <f t="array" ref="H59">propHomesOilHeating</f>
        <v>0.05340942457</v>
      </c>
    </row>
    <row r="60">
      <c r="A60" s="120" t="s">
        <v>186</v>
      </c>
      <c r="B60" s="341">
        <f>B$53*MeanDomesticElectricHeatingBill</f>
        <v>403.2850295</v>
      </c>
      <c r="C60" s="342">
        <f>C$53*MeanDomesticElectricHeatingBill</f>
        <v>474.4529759</v>
      </c>
      <c r="D60" s="343">
        <f>D$53*MeanDomesticElectricHeatingBill</f>
        <v>597.8107496</v>
      </c>
      <c r="E60" s="344">
        <f>ROUND(B60*elecPricePerkWh/100,0)</f>
        <v>106</v>
      </c>
      <c r="F60" s="345">
        <f>ROUND(C60*elecPricePerkWh/100,0)</f>
        <v>125</v>
      </c>
      <c r="G60" s="348">
        <f>ROUND(D60*elecPricePerkWh/100,0)</f>
        <v>157</v>
      </c>
      <c r="H60" s="351">
        <f>propHomesOtherElectricHeaters</f>
        <v>0.02938355721</v>
      </c>
    </row>
    <row r="61">
      <c r="A61" s="120" t="s">
        <v>189</v>
      </c>
      <c r="B61" s="341">
        <f>B$53*MeanDomesticElectricHeatingBill</f>
        <v>403.2850295</v>
      </c>
      <c r="C61" s="342">
        <f>C$53*MeanDomesticElectricHeatingBill</f>
        <v>474.4529759</v>
      </c>
      <c r="D61" s="343">
        <f>D$53*MeanDomesticElectricHeatingBill</f>
        <v>597.8107496</v>
      </c>
      <c r="E61" s="344">
        <f>ROUND(B61*OffPeakTariff/100,0)</f>
        <v>60</v>
      </c>
      <c r="F61" s="345">
        <f>ROUND(C61*OffPeakTariff/100,0)</f>
        <v>71</v>
      </c>
      <c r="G61" s="348">
        <f>ROUND(D61*OffPeakTariff/100,0)</f>
        <v>90</v>
      </c>
      <c r="H61" s="351">
        <f>propHomesStorageHeaters</f>
        <v>0.04685881681</v>
      </c>
    </row>
    <row r="62">
      <c r="A62" s="361" t="s">
        <v>191</v>
      </c>
      <c r="B62" s="362"/>
      <c r="C62" s="363"/>
      <c r="D62" s="365"/>
      <c r="E62" s="368">
        <f t="shared" ref="E62:G62" si="19">SUMPRODUCT(E58:E61,$H58:$H61)/SUM($H58:$H61)</f>
        <v>61.90118923</v>
      </c>
      <c r="F62" s="369">
        <f t="shared" si="19"/>
        <v>72.8322333</v>
      </c>
      <c r="G62" s="370">
        <f t="shared" si="19"/>
        <v>92.30273531</v>
      </c>
      <c r="H62" s="372"/>
    </row>
    <row r="63">
      <c r="A63" s="120" t="s">
        <v>197</v>
      </c>
      <c r="B63" s="341">
        <f>B$54*MeanDomesticGasBill</f>
        <v>1417.631828</v>
      </c>
      <c r="C63" s="342">
        <f>C$54*MeanDomesticGasBill</f>
        <v>1667.802151</v>
      </c>
      <c r="D63" s="343">
        <f>D$54*MeanDomesticGasBill</f>
        <v>2101.43071</v>
      </c>
      <c r="E63" s="344">
        <f>ROUND(B63*gasPricePerkWh/100,0)</f>
        <v>113</v>
      </c>
      <c r="F63" s="345">
        <f>ROUND(C63*gasPricePerkWh/100,0)</f>
        <v>133</v>
      </c>
      <c r="G63" s="348">
        <f>ROUND(D63*gasPricePerkWh/100,0)</f>
        <v>167</v>
      </c>
      <c r="H63" s="351">
        <f>propHomesGasHeating</f>
        <v>0.8357316177</v>
      </c>
    </row>
    <row r="64">
      <c r="A64" s="124" t="s">
        <v>202</v>
      </c>
      <c r="B64" s="341">
        <f>B$54*MeanDomesticOilBill</f>
        <v>2381.04354</v>
      </c>
      <c r="C64" s="342">
        <f>C$54*MeanDomesticOilBill</f>
        <v>2801.227694</v>
      </c>
      <c r="D64" s="343">
        <f>D$54*MeanDomesticOilBill</f>
        <v>3529.546895</v>
      </c>
      <c r="E64" s="344">
        <f>ROUND(B64*oilPriceP/100,0)</f>
        <v>230</v>
      </c>
      <c r="F64" s="345">
        <f>ROUND(C64*oilPriceP/100,0)</f>
        <v>271</v>
      </c>
      <c r="G64" s="348">
        <f>ROUND(D64*oilPriceP/100,0)</f>
        <v>341</v>
      </c>
      <c r="H64" s="351">
        <f t="array" ref="H64">propHomesOilHeating</f>
        <v>0.05340942457</v>
      </c>
    </row>
    <row r="65">
      <c r="A65" s="120" t="s">
        <v>207</v>
      </c>
      <c r="B65" s="341">
        <f>B$54*MeanElectricBill2022</f>
        <v>1082.869943</v>
      </c>
      <c r="C65" s="342">
        <f>C$54*MeanElectricBill2022</f>
        <v>1273.964639</v>
      </c>
      <c r="D65" s="343">
        <f>D$54*MeanElectricBill2022</f>
        <v>1605.195445</v>
      </c>
      <c r="E65" s="344">
        <f>ROUND(B65*elecPricePerkWh/100,0)</f>
        <v>285</v>
      </c>
      <c r="F65" s="345">
        <f>ROUND(C65*elecPricePerkWh/100,0)</f>
        <v>335</v>
      </c>
      <c r="G65" s="348">
        <f>ROUND(D65*elecPricePerkWh/100,0)</f>
        <v>422</v>
      </c>
      <c r="H65" s="351">
        <f>propHomesOtherElectricHeaters</f>
        <v>0.02938355721</v>
      </c>
    </row>
    <row r="66">
      <c r="A66" s="120" t="s">
        <v>209</v>
      </c>
      <c r="B66" s="395">
        <f>B$54*MeanElectricBill2022</f>
        <v>1082.869943</v>
      </c>
      <c r="C66" s="397">
        <f>C$54*MeanElectricBill2022</f>
        <v>1273.964639</v>
      </c>
      <c r="D66" s="397">
        <f>D$54*MeanElectricBill2022</f>
        <v>1605.195445</v>
      </c>
      <c r="E66" s="398">
        <f>ROUND(B66*OffPeakTariff/100,0)</f>
        <v>162</v>
      </c>
      <c r="F66" s="400">
        <f>ROUND(C66*OffPeakTariff/100,0)</f>
        <v>191</v>
      </c>
      <c r="G66" s="401">
        <f>ROUND(D66*OffPeakTariff/100,0)</f>
        <v>241</v>
      </c>
      <c r="H66" s="402">
        <f>propHomesStorageHeaters</f>
        <v>0.04685881681</v>
      </c>
    </row>
    <row r="67">
      <c r="A67" s="361" t="s">
        <v>212</v>
      </c>
      <c r="B67" s="362"/>
      <c r="C67" s="363"/>
      <c r="D67" s="365"/>
      <c r="E67" s="368">
        <f t="shared" ref="E67:G67" si="20">SUMPRODUCT(E63:E66,$H63:$H66)/SUM($H63:$H66)</f>
        <v>127.086586</v>
      </c>
      <c r="F67" s="369">
        <f t="shared" si="20"/>
        <v>149.5983694</v>
      </c>
      <c r="G67" s="370">
        <f t="shared" si="20"/>
        <v>187.9798501</v>
      </c>
      <c r="H67" s="372"/>
    </row>
    <row r="68">
      <c r="A68" s="118"/>
      <c r="B68" s="407"/>
      <c r="C68" s="408"/>
      <c r="D68" s="408"/>
      <c r="E68" s="118"/>
    </row>
    <row r="69">
      <c r="A69" s="118"/>
      <c r="B69" s="407"/>
    </row>
    <row r="70">
      <c r="A70" s="237"/>
    </row>
    <row r="71">
      <c r="A71" s="237"/>
    </row>
    <row r="72">
      <c r="A72" s="237"/>
    </row>
    <row r="73">
      <c r="A73" s="237"/>
    </row>
    <row r="74">
      <c r="A74" s="237"/>
    </row>
    <row r="75">
      <c r="A75" s="237"/>
    </row>
    <row r="76">
      <c r="A76" s="237"/>
    </row>
    <row r="77">
      <c r="A77" s="237"/>
    </row>
    <row r="78">
      <c r="A78" s="237"/>
    </row>
    <row r="79">
      <c r="A79" s="237"/>
    </row>
    <row r="80">
      <c r="A80" s="237"/>
    </row>
    <row r="81">
      <c r="A81" s="237"/>
    </row>
    <row r="82">
      <c r="A82" s="237"/>
    </row>
    <row r="83">
      <c r="A83" s="237"/>
    </row>
    <row r="84">
      <c r="A84" s="237"/>
    </row>
    <row r="85">
      <c r="A85" s="237"/>
    </row>
    <row r="86">
      <c r="A86" s="237"/>
    </row>
    <row r="87">
      <c r="A87" s="237"/>
    </row>
    <row r="88">
      <c r="A88" s="237"/>
    </row>
    <row r="89">
      <c r="A89" s="237"/>
    </row>
    <row r="90">
      <c r="A90" s="237"/>
    </row>
    <row r="91">
      <c r="A91" s="237"/>
    </row>
    <row r="92">
      <c r="A92" s="237"/>
    </row>
    <row r="93">
      <c r="A93" s="237"/>
    </row>
    <row r="94">
      <c r="A94" s="237"/>
    </row>
    <row r="95">
      <c r="A95" s="237"/>
    </row>
    <row r="96">
      <c r="A96" s="237"/>
    </row>
    <row r="97">
      <c r="A97" s="237"/>
    </row>
    <row r="98">
      <c r="A98" s="237"/>
    </row>
    <row r="99">
      <c r="A99" s="237"/>
    </row>
    <row r="100">
      <c r="A100" s="237"/>
    </row>
    <row r="101">
      <c r="A101" s="237"/>
    </row>
    <row r="102">
      <c r="A102" s="237"/>
    </row>
    <row r="103">
      <c r="A103" s="237"/>
    </row>
    <row r="104">
      <c r="A104" s="237"/>
    </row>
    <row r="105">
      <c r="A105" s="237"/>
    </row>
    <row r="106">
      <c r="A106" s="237"/>
    </row>
    <row r="107">
      <c r="A107" s="237"/>
    </row>
    <row r="108">
      <c r="A108" s="237"/>
    </row>
    <row r="109">
      <c r="A109" s="237"/>
    </row>
    <row r="110">
      <c r="A110" s="237"/>
    </row>
    <row r="111">
      <c r="A111" s="237"/>
    </row>
    <row r="112">
      <c r="A112" s="237"/>
    </row>
    <row r="113">
      <c r="A113" s="237"/>
    </row>
    <row r="114">
      <c r="A114" s="237"/>
    </row>
    <row r="115">
      <c r="A115" s="237"/>
    </row>
    <row r="116">
      <c r="A116" s="237"/>
    </row>
    <row r="117">
      <c r="A117" s="237"/>
    </row>
    <row r="118">
      <c r="A118" s="237"/>
    </row>
    <row r="119">
      <c r="A119" s="237"/>
    </row>
    <row r="120">
      <c r="A120" s="237"/>
    </row>
    <row r="121">
      <c r="A121" s="237"/>
    </row>
    <row r="122">
      <c r="A122" s="237"/>
    </row>
    <row r="123">
      <c r="A123" s="237"/>
    </row>
    <row r="124">
      <c r="A124" s="237"/>
    </row>
    <row r="125">
      <c r="A125" s="237"/>
    </row>
    <row r="126">
      <c r="A126" s="237"/>
    </row>
    <row r="127">
      <c r="A127" s="237"/>
    </row>
    <row r="128">
      <c r="A128" s="237"/>
    </row>
    <row r="129">
      <c r="A129" s="237"/>
    </row>
    <row r="130">
      <c r="A130" s="237"/>
    </row>
    <row r="131">
      <c r="A131" s="237"/>
    </row>
    <row r="132">
      <c r="A132" s="237"/>
    </row>
    <row r="133">
      <c r="A133" s="237"/>
    </row>
    <row r="134">
      <c r="A134" s="237"/>
    </row>
    <row r="135">
      <c r="A135" s="237"/>
    </row>
    <row r="136">
      <c r="A136" s="237"/>
    </row>
    <row r="137">
      <c r="A137" s="237"/>
    </row>
    <row r="138">
      <c r="A138" s="237"/>
    </row>
    <row r="139">
      <c r="A139" s="237"/>
    </row>
    <row r="140">
      <c r="A140" s="237"/>
    </row>
    <row r="141">
      <c r="A141" s="237"/>
    </row>
    <row r="142">
      <c r="A142" s="237"/>
    </row>
    <row r="143">
      <c r="A143" s="237"/>
    </row>
    <row r="144">
      <c r="A144" s="237"/>
    </row>
    <row r="145">
      <c r="A145" s="237"/>
    </row>
    <row r="146">
      <c r="A146" s="237"/>
    </row>
    <row r="147">
      <c r="A147" s="237"/>
    </row>
    <row r="148">
      <c r="A148" s="237"/>
    </row>
    <row r="149">
      <c r="A149" s="237"/>
    </row>
    <row r="150">
      <c r="A150" s="237"/>
    </row>
    <row r="151">
      <c r="A151" s="237"/>
    </row>
    <row r="152">
      <c r="A152" s="237"/>
    </row>
    <row r="153">
      <c r="A153" s="237"/>
    </row>
    <row r="154">
      <c r="A154" s="237"/>
    </row>
    <row r="155">
      <c r="A155" s="237"/>
    </row>
    <row r="156">
      <c r="A156" s="237"/>
    </row>
    <row r="157">
      <c r="A157" s="237"/>
    </row>
    <row r="158">
      <c r="A158" s="237"/>
    </row>
    <row r="159">
      <c r="A159" s="237"/>
    </row>
    <row r="160">
      <c r="A160" s="237"/>
    </row>
    <row r="161">
      <c r="A161" s="237"/>
    </row>
    <row r="162">
      <c r="A162" s="237"/>
    </row>
    <row r="163">
      <c r="A163" s="237"/>
    </row>
    <row r="164">
      <c r="A164" s="237"/>
    </row>
    <row r="165">
      <c r="A165" s="237"/>
    </row>
    <row r="166">
      <c r="A166" s="237"/>
    </row>
    <row r="167">
      <c r="A167" s="237"/>
    </row>
    <row r="168">
      <c r="A168" s="237"/>
    </row>
    <row r="169">
      <c r="A169" s="237"/>
    </row>
    <row r="170">
      <c r="A170" s="237"/>
    </row>
    <row r="171">
      <c r="A171" s="237"/>
    </row>
    <row r="172">
      <c r="A172" s="237"/>
    </row>
    <row r="173">
      <c r="A173" s="237"/>
    </row>
    <row r="174">
      <c r="A174" s="237"/>
    </row>
    <row r="175">
      <c r="A175" s="237"/>
    </row>
    <row r="176">
      <c r="A176" s="237"/>
    </row>
    <row r="177">
      <c r="A177" s="237"/>
    </row>
    <row r="178">
      <c r="A178" s="237"/>
    </row>
    <row r="179">
      <c r="A179" s="237"/>
    </row>
    <row r="180">
      <c r="A180" s="237"/>
    </row>
    <row r="181">
      <c r="A181" s="237"/>
    </row>
    <row r="182">
      <c r="A182" s="237"/>
    </row>
    <row r="183">
      <c r="A183" s="237"/>
    </row>
    <row r="184">
      <c r="A184" s="237"/>
    </row>
    <row r="185">
      <c r="A185" s="237"/>
    </row>
    <row r="186">
      <c r="A186" s="237"/>
    </row>
    <row r="187">
      <c r="A187" s="237"/>
    </row>
    <row r="188">
      <c r="A188" s="237"/>
    </row>
    <row r="189">
      <c r="A189" s="237"/>
    </row>
    <row r="190">
      <c r="A190" s="237"/>
    </row>
    <row r="191">
      <c r="A191" s="237"/>
    </row>
    <row r="192">
      <c r="A192" s="237"/>
    </row>
    <row r="193">
      <c r="A193" s="237"/>
    </row>
    <row r="194">
      <c r="A194" s="237"/>
    </row>
    <row r="195">
      <c r="A195" s="237"/>
    </row>
    <row r="196">
      <c r="A196" s="237"/>
    </row>
    <row r="197">
      <c r="A197" s="237"/>
    </row>
    <row r="198">
      <c r="A198" s="237"/>
    </row>
    <row r="199">
      <c r="A199" s="237"/>
    </row>
    <row r="200">
      <c r="A200" s="237"/>
    </row>
    <row r="201">
      <c r="A201" s="237"/>
    </row>
    <row r="202">
      <c r="A202" s="237"/>
    </row>
    <row r="203">
      <c r="A203" s="237"/>
    </row>
    <row r="204">
      <c r="A204" s="237"/>
    </row>
    <row r="205">
      <c r="A205" s="237"/>
    </row>
    <row r="206">
      <c r="A206" s="237"/>
    </row>
    <row r="207">
      <c r="A207" s="237"/>
    </row>
    <row r="208">
      <c r="A208" s="237"/>
    </row>
    <row r="209">
      <c r="A209" s="237"/>
    </row>
    <row r="210">
      <c r="A210" s="237"/>
    </row>
    <row r="211">
      <c r="A211" s="237"/>
    </row>
    <row r="212">
      <c r="A212" s="237"/>
    </row>
    <row r="213">
      <c r="A213" s="237"/>
    </row>
    <row r="214">
      <c r="A214" s="237"/>
    </row>
    <row r="215">
      <c r="A215" s="237"/>
    </row>
    <row r="216">
      <c r="A216" s="237"/>
    </row>
    <row r="217">
      <c r="A217" s="237"/>
    </row>
    <row r="218">
      <c r="A218" s="237"/>
    </row>
    <row r="219">
      <c r="A219" s="237"/>
    </row>
    <row r="220">
      <c r="A220" s="237"/>
    </row>
    <row r="221">
      <c r="A221" s="237"/>
    </row>
    <row r="222">
      <c r="A222" s="237"/>
    </row>
    <row r="223">
      <c r="A223" s="237"/>
    </row>
    <row r="224">
      <c r="A224" s="237"/>
    </row>
    <row r="225">
      <c r="A225" s="237"/>
    </row>
    <row r="226">
      <c r="A226" s="237"/>
    </row>
    <row r="227">
      <c r="A227" s="237"/>
    </row>
    <row r="228">
      <c r="A228" s="237"/>
    </row>
    <row r="229">
      <c r="A229" s="237"/>
    </row>
    <row r="230">
      <c r="A230" s="237"/>
    </row>
    <row r="231">
      <c r="A231" s="237"/>
    </row>
    <row r="232">
      <c r="A232" s="237"/>
    </row>
    <row r="233">
      <c r="A233" s="237"/>
    </row>
    <row r="234">
      <c r="A234" s="237"/>
    </row>
    <row r="235">
      <c r="A235" s="237"/>
    </row>
    <row r="236">
      <c r="A236" s="237"/>
    </row>
    <row r="237">
      <c r="A237" s="237"/>
    </row>
    <row r="238">
      <c r="A238" s="237"/>
    </row>
    <row r="239">
      <c r="A239" s="237"/>
    </row>
    <row r="240">
      <c r="A240" s="237"/>
    </row>
    <row r="241">
      <c r="A241" s="237"/>
    </row>
    <row r="242">
      <c r="A242" s="237"/>
    </row>
    <row r="243">
      <c r="A243" s="237"/>
    </row>
    <row r="244">
      <c r="A244" s="237"/>
    </row>
    <row r="245">
      <c r="A245" s="237"/>
    </row>
    <row r="246">
      <c r="A246" s="237"/>
    </row>
    <row r="247">
      <c r="A247" s="237"/>
    </row>
    <row r="248">
      <c r="A248" s="237"/>
    </row>
    <row r="249">
      <c r="A249" s="237"/>
    </row>
    <row r="250">
      <c r="A250" s="237"/>
    </row>
    <row r="251">
      <c r="A251" s="237"/>
    </row>
    <row r="252">
      <c r="A252" s="237"/>
    </row>
    <row r="253">
      <c r="A253" s="237"/>
    </row>
    <row r="254">
      <c r="A254" s="237"/>
    </row>
    <row r="255">
      <c r="A255" s="237"/>
    </row>
    <row r="256">
      <c r="A256" s="237"/>
    </row>
    <row r="257">
      <c r="A257" s="237"/>
    </row>
    <row r="258">
      <c r="A258" s="237"/>
    </row>
    <row r="259">
      <c r="A259" s="237"/>
    </row>
    <row r="260">
      <c r="A260" s="237"/>
    </row>
    <row r="261">
      <c r="A261" s="237"/>
    </row>
    <row r="262">
      <c r="A262" s="237"/>
    </row>
    <row r="263">
      <c r="A263" s="237"/>
    </row>
    <row r="264">
      <c r="A264" s="237"/>
    </row>
    <row r="265">
      <c r="A265" s="237"/>
    </row>
    <row r="266">
      <c r="A266" s="237"/>
    </row>
    <row r="267">
      <c r="A267" s="237"/>
    </row>
    <row r="268">
      <c r="A268" s="237"/>
    </row>
    <row r="269">
      <c r="A269" s="237"/>
    </row>
    <row r="270">
      <c r="A270" s="237"/>
    </row>
    <row r="271">
      <c r="A271" s="237"/>
    </row>
    <row r="272">
      <c r="A272" s="237"/>
    </row>
    <row r="273">
      <c r="A273" s="237"/>
    </row>
    <row r="274">
      <c r="A274" s="237"/>
    </row>
    <row r="275">
      <c r="A275" s="237"/>
    </row>
    <row r="276">
      <c r="A276" s="237"/>
    </row>
    <row r="277">
      <c r="A277" s="237"/>
    </row>
    <row r="278">
      <c r="A278" s="237"/>
    </row>
    <row r="279">
      <c r="A279" s="237"/>
    </row>
    <row r="280">
      <c r="A280" s="237"/>
    </row>
    <row r="281">
      <c r="A281" s="237"/>
    </row>
    <row r="282">
      <c r="A282" s="237"/>
    </row>
    <row r="283">
      <c r="A283" s="237"/>
    </row>
    <row r="284">
      <c r="A284" s="237"/>
    </row>
    <row r="285">
      <c r="A285" s="237"/>
    </row>
    <row r="286">
      <c r="A286" s="237"/>
    </row>
    <row r="287">
      <c r="A287" s="237"/>
    </row>
    <row r="288">
      <c r="A288" s="237"/>
    </row>
    <row r="289">
      <c r="A289" s="237"/>
    </row>
    <row r="290">
      <c r="A290" s="237"/>
    </row>
    <row r="291">
      <c r="A291" s="237"/>
    </row>
    <row r="292">
      <c r="A292" s="237"/>
    </row>
    <row r="293">
      <c r="A293" s="237"/>
    </row>
    <row r="294">
      <c r="A294" s="237"/>
    </row>
    <row r="295">
      <c r="A295" s="237"/>
    </row>
    <row r="296">
      <c r="A296" s="237"/>
    </row>
    <row r="297">
      <c r="A297" s="237"/>
    </row>
    <row r="298">
      <c r="A298" s="237"/>
    </row>
    <row r="299">
      <c r="A299" s="237"/>
    </row>
    <row r="300">
      <c r="A300" s="237"/>
    </row>
    <row r="301">
      <c r="A301" s="237"/>
    </row>
    <row r="302">
      <c r="A302" s="237"/>
    </row>
    <row r="303">
      <c r="A303" s="237"/>
    </row>
    <row r="304">
      <c r="A304" s="237"/>
    </row>
    <row r="305">
      <c r="A305" s="237"/>
    </row>
    <row r="306">
      <c r="A306" s="237"/>
    </row>
    <row r="307">
      <c r="A307" s="237"/>
    </row>
    <row r="308">
      <c r="A308" s="237"/>
    </row>
    <row r="309">
      <c r="A309" s="237"/>
    </row>
    <row r="310">
      <c r="A310" s="237"/>
    </row>
    <row r="311">
      <c r="A311" s="237"/>
    </row>
    <row r="312">
      <c r="A312" s="237"/>
    </row>
    <row r="313">
      <c r="A313" s="237"/>
    </row>
    <row r="314">
      <c r="A314" s="237"/>
    </row>
    <row r="315">
      <c r="A315" s="237"/>
    </row>
    <row r="316">
      <c r="A316" s="237"/>
    </row>
    <row r="317">
      <c r="A317" s="237"/>
    </row>
    <row r="318">
      <c r="A318" s="237"/>
    </row>
    <row r="319">
      <c r="A319" s="237"/>
    </row>
    <row r="320">
      <c r="A320" s="237"/>
    </row>
    <row r="321">
      <c r="A321" s="237"/>
    </row>
    <row r="322">
      <c r="A322" s="237"/>
    </row>
    <row r="323">
      <c r="A323" s="237"/>
    </row>
    <row r="324">
      <c r="A324" s="237"/>
    </row>
    <row r="325">
      <c r="A325" s="237"/>
    </row>
    <row r="326">
      <c r="A326" s="237"/>
    </row>
    <row r="327">
      <c r="A327" s="237"/>
    </row>
    <row r="328">
      <c r="A328" s="237"/>
    </row>
    <row r="329">
      <c r="A329" s="237"/>
    </row>
    <row r="330">
      <c r="A330" s="237"/>
    </row>
    <row r="331">
      <c r="A331" s="237"/>
    </row>
    <row r="332">
      <c r="A332" s="237"/>
    </row>
    <row r="333">
      <c r="A333" s="237"/>
    </row>
    <row r="334">
      <c r="A334" s="237"/>
    </row>
    <row r="335">
      <c r="A335" s="237"/>
    </row>
    <row r="336">
      <c r="A336" s="237"/>
    </row>
    <row r="337">
      <c r="A337" s="237"/>
    </row>
    <row r="338">
      <c r="A338" s="237"/>
    </row>
    <row r="339">
      <c r="A339" s="237"/>
    </row>
    <row r="340">
      <c r="A340" s="237"/>
    </row>
    <row r="341">
      <c r="A341" s="237"/>
    </row>
    <row r="342">
      <c r="A342" s="237"/>
    </row>
    <row r="343">
      <c r="A343" s="237"/>
    </row>
    <row r="344">
      <c r="A344" s="237"/>
    </row>
    <row r="345">
      <c r="A345" s="237"/>
    </row>
    <row r="346">
      <c r="A346" s="237"/>
    </row>
    <row r="347">
      <c r="A347" s="237"/>
    </row>
    <row r="348">
      <c r="A348" s="237"/>
    </row>
    <row r="349">
      <c r="A349" s="237"/>
    </row>
    <row r="350">
      <c r="A350" s="237"/>
    </row>
    <row r="351">
      <c r="A351" s="237"/>
    </row>
    <row r="352">
      <c r="A352" s="237"/>
    </row>
    <row r="353">
      <c r="A353" s="237"/>
    </row>
    <row r="354">
      <c r="A354" s="237"/>
    </row>
    <row r="355">
      <c r="A355" s="237"/>
    </row>
    <row r="356">
      <c r="A356" s="237"/>
    </row>
    <row r="357">
      <c r="A357" s="237"/>
    </row>
    <row r="358">
      <c r="A358" s="237"/>
    </row>
    <row r="359">
      <c r="A359" s="237"/>
    </row>
    <row r="360">
      <c r="A360" s="237"/>
    </row>
    <row r="361">
      <c r="A361" s="237"/>
    </row>
    <row r="362">
      <c r="A362" s="237"/>
    </row>
    <row r="363">
      <c r="A363" s="237"/>
    </row>
    <row r="364">
      <c r="A364" s="237"/>
    </row>
    <row r="365">
      <c r="A365" s="237"/>
    </row>
    <row r="366">
      <c r="A366" s="237"/>
    </row>
    <row r="367">
      <c r="A367" s="237"/>
    </row>
    <row r="368">
      <c r="A368" s="237"/>
    </row>
    <row r="369">
      <c r="A369" s="237"/>
    </row>
    <row r="370">
      <c r="A370" s="237"/>
    </row>
    <row r="371">
      <c r="A371" s="237"/>
    </row>
    <row r="372">
      <c r="A372" s="237"/>
    </row>
    <row r="373">
      <c r="A373" s="237"/>
    </row>
    <row r="374">
      <c r="A374" s="237"/>
    </row>
    <row r="375">
      <c r="A375" s="237"/>
    </row>
    <row r="376">
      <c r="A376" s="237"/>
    </row>
    <row r="377">
      <c r="A377" s="237"/>
    </row>
    <row r="378">
      <c r="A378" s="237"/>
    </row>
    <row r="379">
      <c r="A379" s="237"/>
    </row>
    <row r="380">
      <c r="A380" s="237"/>
    </row>
    <row r="381">
      <c r="A381" s="237"/>
    </row>
    <row r="382">
      <c r="A382" s="237"/>
    </row>
    <row r="383">
      <c r="A383" s="237"/>
    </row>
    <row r="384">
      <c r="A384" s="237"/>
    </row>
    <row r="385">
      <c r="A385" s="237"/>
    </row>
    <row r="386">
      <c r="A386" s="237"/>
    </row>
    <row r="387">
      <c r="A387" s="237"/>
    </row>
    <row r="388">
      <c r="A388" s="237"/>
    </row>
    <row r="389">
      <c r="A389" s="237"/>
    </row>
    <row r="390">
      <c r="A390" s="237"/>
    </row>
    <row r="391">
      <c r="A391" s="237"/>
    </row>
    <row r="392">
      <c r="A392" s="237"/>
    </row>
    <row r="393">
      <c r="A393" s="237"/>
    </row>
    <row r="394">
      <c r="A394" s="237"/>
    </row>
    <row r="395">
      <c r="A395" s="237"/>
    </row>
    <row r="396">
      <c r="A396" s="237"/>
    </row>
    <row r="397">
      <c r="A397" s="237"/>
    </row>
    <row r="398">
      <c r="A398" s="237"/>
    </row>
    <row r="399">
      <c r="A399" s="237"/>
    </row>
    <row r="400">
      <c r="A400" s="237"/>
    </row>
    <row r="401">
      <c r="A401" s="237"/>
    </row>
    <row r="402">
      <c r="A402" s="237"/>
    </row>
    <row r="403">
      <c r="A403" s="237"/>
    </row>
    <row r="404">
      <c r="A404" s="237"/>
    </row>
    <row r="405">
      <c r="A405" s="237"/>
    </row>
    <row r="406">
      <c r="A406" s="237"/>
    </row>
    <row r="407">
      <c r="A407" s="237"/>
    </row>
    <row r="408">
      <c r="A408" s="237"/>
    </row>
    <row r="409">
      <c r="A409" s="237"/>
    </row>
    <row r="410">
      <c r="A410" s="237"/>
    </row>
    <row r="411">
      <c r="A411" s="237"/>
    </row>
    <row r="412">
      <c r="A412" s="237"/>
    </row>
    <row r="413">
      <c r="A413" s="237"/>
    </row>
    <row r="414">
      <c r="A414" s="237"/>
    </row>
    <row r="415">
      <c r="A415" s="237"/>
    </row>
    <row r="416">
      <c r="A416" s="237"/>
    </row>
    <row r="417">
      <c r="A417" s="237"/>
    </row>
    <row r="418">
      <c r="A418" s="237"/>
    </row>
    <row r="419">
      <c r="A419" s="237"/>
    </row>
    <row r="420">
      <c r="A420" s="237"/>
    </row>
    <row r="421">
      <c r="A421" s="237"/>
    </row>
    <row r="422">
      <c r="A422" s="237"/>
    </row>
    <row r="423">
      <c r="A423" s="237"/>
    </row>
    <row r="424">
      <c r="A424" s="237"/>
    </row>
    <row r="425">
      <c r="A425" s="237"/>
    </row>
    <row r="426">
      <c r="A426" s="237"/>
    </row>
    <row r="427">
      <c r="A427" s="237"/>
    </row>
    <row r="428">
      <c r="A428" s="237"/>
    </row>
    <row r="429">
      <c r="A429" s="237"/>
    </row>
    <row r="430">
      <c r="A430" s="237"/>
    </row>
    <row r="431">
      <c r="A431" s="237"/>
    </row>
    <row r="432">
      <c r="A432" s="237"/>
    </row>
    <row r="433">
      <c r="A433" s="237"/>
    </row>
    <row r="434">
      <c r="A434" s="237"/>
    </row>
    <row r="435">
      <c r="A435" s="237"/>
    </row>
    <row r="436">
      <c r="A436" s="237"/>
    </row>
    <row r="437">
      <c r="A437" s="237"/>
    </row>
    <row r="438">
      <c r="A438" s="237"/>
    </row>
    <row r="439">
      <c r="A439" s="237"/>
    </row>
    <row r="440">
      <c r="A440" s="237"/>
    </row>
    <row r="441">
      <c r="A441" s="237"/>
    </row>
    <row r="442">
      <c r="A442" s="237"/>
    </row>
    <row r="443">
      <c r="A443" s="237"/>
    </row>
    <row r="444">
      <c r="A444" s="237"/>
    </row>
    <row r="445">
      <c r="A445" s="237"/>
    </row>
    <row r="446">
      <c r="A446" s="237"/>
    </row>
    <row r="447">
      <c r="A447" s="237"/>
    </row>
    <row r="448">
      <c r="A448" s="237"/>
    </row>
    <row r="449">
      <c r="A449" s="237"/>
    </row>
    <row r="450">
      <c r="A450" s="237"/>
    </row>
    <row r="451">
      <c r="A451" s="237"/>
    </row>
    <row r="452">
      <c r="A452" s="237"/>
    </row>
    <row r="453">
      <c r="A453" s="237"/>
    </row>
    <row r="454">
      <c r="A454" s="237"/>
    </row>
    <row r="455">
      <c r="A455" s="237"/>
    </row>
    <row r="456">
      <c r="A456" s="237"/>
    </row>
    <row r="457">
      <c r="A457" s="237"/>
    </row>
    <row r="458">
      <c r="A458" s="237"/>
    </row>
    <row r="459">
      <c r="A459" s="237"/>
    </row>
    <row r="460">
      <c r="A460" s="237"/>
    </row>
    <row r="461">
      <c r="A461" s="237"/>
    </row>
    <row r="462">
      <c r="A462" s="237"/>
    </row>
    <row r="463">
      <c r="A463" s="237"/>
    </row>
    <row r="464">
      <c r="A464" s="237"/>
    </row>
    <row r="465">
      <c r="A465" s="237"/>
    </row>
    <row r="466">
      <c r="A466" s="237"/>
    </row>
    <row r="467">
      <c r="A467" s="237"/>
    </row>
    <row r="468">
      <c r="A468" s="237"/>
    </row>
    <row r="469">
      <c r="A469" s="237"/>
    </row>
    <row r="470">
      <c r="A470" s="237"/>
    </row>
    <row r="471">
      <c r="A471" s="237"/>
    </row>
    <row r="472">
      <c r="A472" s="237"/>
    </row>
    <row r="473">
      <c r="A473" s="237"/>
    </row>
    <row r="474">
      <c r="A474" s="237"/>
    </row>
    <row r="475">
      <c r="A475" s="237"/>
    </row>
    <row r="476">
      <c r="A476" s="237"/>
    </row>
    <row r="477">
      <c r="A477" s="237"/>
    </row>
    <row r="478">
      <c r="A478" s="237"/>
    </row>
    <row r="479">
      <c r="A479" s="237"/>
    </row>
    <row r="480">
      <c r="A480" s="237"/>
    </row>
    <row r="481">
      <c r="A481" s="237"/>
    </row>
    <row r="482">
      <c r="A482" s="237"/>
    </row>
    <row r="483">
      <c r="A483" s="237"/>
    </row>
    <row r="484">
      <c r="A484" s="237"/>
    </row>
    <row r="485">
      <c r="A485" s="237"/>
    </row>
    <row r="486">
      <c r="A486" s="237"/>
    </row>
    <row r="487">
      <c r="A487" s="237"/>
    </row>
    <row r="488">
      <c r="A488" s="237"/>
    </row>
    <row r="489">
      <c r="A489" s="237"/>
    </row>
    <row r="490">
      <c r="A490" s="237"/>
    </row>
    <row r="491">
      <c r="A491" s="237"/>
    </row>
    <row r="492">
      <c r="A492" s="237"/>
    </row>
    <row r="493">
      <c r="A493" s="237"/>
    </row>
    <row r="494">
      <c r="A494" s="237"/>
    </row>
    <row r="495">
      <c r="A495" s="237"/>
    </row>
    <row r="496">
      <c r="A496" s="237"/>
    </row>
    <row r="497">
      <c r="A497" s="237"/>
    </row>
    <row r="498">
      <c r="A498" s="237"/>
    </row>
    <row r="499">
      <c r="A499" s="237"/>
    </row>
    <row r="500">
      <c r="A500" s="237"/>
    </row>
    <row r="501">
      <c r="A501" s="237"/>
    </row>
    <row r="502">
      <c r="A502" s="237"/>
    </row>
    <row r="503">
      <c r="A503" s="237"/>
    </row>
    <row r="504">
      <c r="A504" s="237"/>
    </row>
    <row r="505">
      <c r="A505" s="237"/>
    </row>
    <row r="506">
      <c r="A506" s="237"/>
    </row>
    <row r="507">
      <c r="A507" s="237"/>
    </row>
    <row r="508">
      <c r="A508" s="237"/>
    </row>
    <row r="509">
      <c r="A509" s="237"/>
    </row>
    <row r="510">
      <c r="A510" s="237"/>
    </row>
    <row r="511">
      <c r="A511" s="237"/>
    </row>
    <row r="512">
      <c r="A512" s="237"/>
    </row>
    <row r="513">
      <c r="A513" s="237"/>
    </row>
    <row r="514">
      <c r="A514" s="237"/>
    </row>
    <row r="515">
      <c r="A515" s="237"/>
    </row>
    <row r="516">
      <c r="A516" s="237"/>
    </row>
    <row r="517">
      <c r="A517" s="237"/>
    </row>
    <row r="518">
      <c r="A518" s="237"/>
    </row>
    <row r="519">
      <c r="A519" s="237"/>
    </row>
    <row r="520">
      <c r="A520" s="237"/>
    </row>
    <row r="521">
      <c r="A521" s="237"/>
    </row>
    <row r="522">
      <c r="A522" s="237"/>
    </row>
    <row r="523">
      <c r="A523" s="237"/>
    </row>
    <row r="524">
      <c r="A524" s="237"/>
    </row>
    <row r="525">
      <c r="A525" s="237"/>
    </row>
    <row r="526">
      <c r="A526" s="237"/>
    </row>
    <row r="527">
      <c r="A527" s="237"/>
    </row>
    <row r="528">
      <c r="A528" s="237"/>
    </row>
    <row r="529">
      <c r="A529" s="237"/>
    </row>
    <row r="530">
      <c r="A530" s="237"/>
    </row>
    <row r="531">
      <c r="A531" s="237"/>
    </row>
    <row r="532">
      <c r="A532" s="237"/>
    </row>
    <row r="533">
      <c r="A533" s="237"/>
    </row>
    <row r="534">
      <c r="A534" s="237"/>
    </row>
    <row r="535">
      <c r="A535" s="237"/>
    </row>
    <row r="536">
      <c r="A536" s="237"/>
    </row>
    <row r="537">
      <c r="A537" s="237"/>
    </row>
    <row r="538">
      <c r="A538" s="237"/>
    </row>
    <row r="539">
      <c r="A539" s="237"/>
    </row>
    <row r="540">
      <c r="A540" s="237"/>
    </row>
    <row r="541">
      <c r="A541" s="237"/>
    </row>
    <row r="542">
      <c r="A542" s="237"/>
    </row>
    <row r="543">
      <c r="A543" s="237"/>
    </row>
    <row r="544">
      <c r="A544" s="237"/>
    </row>
    <row r="545">
      <c r="A545" s="237"/>
    </row>
    <row r="546">
      <c r="A546" s="237"/>
    </row>
    <row r="547">
      <c r="A547" s="237"/>
    </row>
    <row r="548">
      <c r="A548" s="237"/>
    </row>
    <row r="549">
      <c r="A549" s="237"/>
    </row>
    <row r="550">
      <c r="A550" s="237"/>
    </row>
    <row r="551">
      <c r="A551" s="237"/>
    </row>
    <row r="552">
      <c r="A552" s="237"/>
    </row>
    <row r="553">
      <c r="A553" s="237"/>
    </row>
    <row r="554">
      <c r="A554" s="237"/>
    </row>
    <row r="555">
      <c r="A555" s="237"/>
    </row>
    <row r="556">
      <c r="A556" s="237"/>
    </row>
    <row r="557">
      <c r="A557" s="237"/>
    </row>
    <row r="558">
      <c r="A558" s="237"/>
    </row>
    <row r="559">
      <c r="A559" s="237"/>
    </row>
    <row r="560">
      <c r="A560" s="237"/>
    </row>
    <row r="561">
      <c r="A561" s="237"/>
    </row>
    <row r="562">
      <c r="A562" s="237"/>
    </row>
    <row r="563">
      <c r="A563" s="237"/>
    </row>
    <row r="564">
      <c r="A564" s="237"/>
    </row>
    <row r="565">
      <c r="A565" s="237"/>
    </row>
    <row r="566">
      <c r="A566" s="237"/>
    </row>
    <row r="567">
      <c r="A567" s="237"/>
    </row>
    <row r="568">
      <c r="A568" s="237"/>
    </row>
    <row r="569">
      <c r="A569" s="237"/>
    </row>
    <row r="570">
      <c r="A570" s="237"/>
    </row>
    <row r="571">
      <c r="A571" s="237"/>
    </row>
    <row r="572">
      <c r="A572" s="237"/>
    </row>
    <row r="573">
      <c r="A573" s="237"/>
    </row>
    <row r="574">
      <c r="A574" s="237"/>
    </row>
    <row r="575">
      <c r="A575" s="237"/>
    </row>
    <row r="576">
      <c r="A576" s="237"/>
    </row>
    <row r="577">
      <c r="A577" s="237"/>
    </row>
    <row r="578">
      <c r="A578" s="237"/>
    </row>
    <row r="579">
      <c r="A579" s="237"/>
    </row>
    <row r="580">
      <c r="A580" s="237"/>
    </row>
    <row r="581">
      <c r="A581" s="237"/>
    </row>
    <row r="582">
      <c r="A582" s="237"/>
    </row>
    <row r="583">
      <c r="A583" s="237"/>
    </row>
    <row r="584">
      <c r="A584" s="237"/>
    </row>
    <row r="585">
      <c r="A585" s="237"/>
    </row>
    <row r="586">
      <c r="A586" s="237"/>
    </row>
    <row r="587">
      <c r="A587" s="237"/>
    </row>
    <row r="588">
      <c r="A588" s="237"/>
    </row>
    <row r="589">
      <c r="A589" s="237"/>
    </row>
    <row r="590">
      <c r="A590" s="237"/>
    </row>
    <row r="591">
      <c r="A591" s="237"/>
    </row>
    <row r="592">
      <c r="A592" s="237"/>
    </row>
    <row r="593">
      <c r="A593" s="237"/>
    </row>
    <row r="594">
      <c r="A594" s="237"/>
    </row>
    <row r="595">
      <c r="A595" s="237"/>
    </row>
    <row r="596">
      <c r="A596" s="237"/>
    </row>
    <row r="597">
      <c r="A597" s="237"/>
    </row>
    <row r="598">
      <c r="A598" s="237"/>
    </row>
    <row r="599">
      <c r="A599" s="237"/>
    </row>
    <row r="600">
      <c r="A600" s="237"/>
    </row>
    <row r="601">
      <c r="A601" s="237"/>
    </row>
    <row r="602">
      <c r="A602" s="237"/>
    </row>
    <row r="603">
      <c r="A603" s="237"/>
    </row>
    <row r="604">
      <c r="A604" s="237"/>
    </row>
    <row r="605">
      <c r="A605" s="237"/>
    </row>
    <row r="606">
      <c r="A606" s="237"/>
    </row>
    <row r="607">
      <c r="A607" s="237"/>
    </row>
    <row r="608">
      <c r="A608" s="237"/>
    </row>
    <row r="609">
      <c r="A609" s="237"/>
    </row>
    <row r="610">
      <c r="A610" s="237"/>
    </row>
    <row r="611">
      <c r="A611" s="237"/>
    </row>
    <row r="612">
      <c r="A612" s="237"/>
    </row>
    <row r="613">
      <c r="A613" s="237"/>
    </row>
    <row r="614">
      <c r="A614" s="237"/>
    </row>
    <row r="615">
      <c r="A615" s="237"/>
    </row>
    <row r="616">
      <c r="A616" s="237"/>
    </row>
    <row r="617">
      <c r="A617" s="237"/>
    </row>
    <row r="618">
      <c r="A618" s="237"/>
    </row>
    <row r="619">
      <c r="A619" s="237"/>
    </row>
    <row r="620">
      <c r="A620" s="237"/>
    </row>
    <row r="621">
      <c r="A621" s="237"/>
    </row>
    <row r="622">
      <c r="A622" s="237"/>
    </row>
    <row r="623">
      <c r="A623" s="237"/>
    </row>
    <row r="624">
      <c r="A624" s="237"/>
    </row>
    <row r="625">
      <c r="A625" s="237"/>
    </row>
    <row r="626">
      <c r="A626" s="237"/>
    </row>
    <row r="627">
      <c r="A627" s="237"/>
    </row>
    <row r="628">
      <c r="A628" s="237"/>
    </row>
    <row r="629">
      <c r="A629" s="237"/>
    </row>
    <row r="630">
      <c r="A630" s="237"/>
    </row>
    <row r="631">
      <c r="A631" s="237"/>
    </row>
    <row r="632">
      <c r="A632" s="237"/>
    </row>
    <row r="633">
      <c r="A633" s="237"/>
    </row>
    <row r="634">
      <c r="A634" s="237"/>
    </row>
    <row r="635">
      <c r="A635" s="237"/>
    </row>
    <row r="636">
      <c r="A636" s="237"/>
    </row>
    <row r="637">
      <c r="A637" s="237"/>
    </row>
    <row r="638">
      <c r="A638" s="237"/>
    </row>
    <row r="639">
      <c r="A639" s="237"/>
    </row>
    <row r="640">
      <c r="A640" s="237"/>
    </row>
    <row r="641">
      <c r="A641" s="237"/>
    </row>
    <row r="642">
      <c r="A642" s="237"/>
    </row>
    <row r="643">
      <c r="A643" s="237"/>
    </row>
    <row r="644">
      <c r="A644" s="237"/>
    </row>
    <row r="645">
      <c r="A645" s="237"/>
    </row>
    <row r="646">
      <c r="A646" s="237"/>
    </row>
    <row r="647">
      <c r="A647" s="237"/>
    </row>
    <row r="648">
      <c r="A648" s="237"/>
    </row>
    <row r="649">
      <c r="A649" s="237"/>
    </row>
    <row r="650">
      <c r="A650" s="237"/>
    </row>
    <row r="651">
      <c r="A651" s="237"/>
    </row>
    <row r="652">
      <c r="A652" s="237"/>
    </row>
    <row r="653">
      <c r="A653" s="237"/>
    </row>
    <row r="654">
      <c r="A654" s="237"/>
    </row>
    <row r="655">
      <c r="A655" s="237"/>
    </row>
    <row r="656">
      <c r="A656" s="237"/>
    </row>
    <row r="657">
      <c r="A657" s="237"/>
    </row>
    <row r="658">
      <c r="A658" s="237"/>
    </row>
    <row r="659">
      <c r="A659" s="237"/>
    </row>
    <row r="660">
      <c r="A660" s="237"/>
    </row>
    <row r="661">
      <c r="A661" s="237"/>
    </row>
    <row r="662">
      <c r="A662" s="237"/>
    </row>
    <row r="663">
      <c r="A663" s="237"/>
    </row>
    <row r="664">
      <c r="A664" s="237"/>
    </row>
    <row r="665">
      <c r="A665" s="237"/>
    </row>
    <row r="666">
      <c r="A666" s="237"/>
    </row>
    <row r="667">
      <c r="A667" s="237"/>
    </row>
    <row r="668">
      <c r="A668" s="237"/>
    </row>
    <row r="669">
      <c r="A669" s="237"/>
    </row>
    <row r="670">
      <c r="A670" s="237"/>
    </row>
    <row r="671">
      <c r="A671" s="237"/>
    </row>
    <row r="672">
      <c r="A672" s="237"/>
    </row>
    <row r="673">
      <c r="A673" s="237"/>
    </row>
    <row r="674">
      <c r="A674" s="237"/>
    </row>
    <row r="675">
      <c r="A675" s="237"/>
    </row>
    <row r="676">
      <c r="A676" s="237"/>
    </row>
    <row r="677">
      <c r="A677" s="237"/>
    </row>
    <row r="678">
      <c r="A678" s="237"/>
    </row>
    <row r="679">
      <c r="A679" s="237"/>
    </row>
    <row r="680">
      <c r="A680" s="237"/>
    </row>
    <row r="681">
      <c r="A681" s="237"/>
    </row>
    <row r="682">
      <c r="A682" s="237"/>
    </row>
    <row r="683">
      <c r="A683" s="237"/>
    </row>
    <row r="684">
      <c r="A684" s="237"/>
    </row>
    <row r="685">
      <c r="A685" s="237"/>
    </row>
    <row r="686">
      <c r="A686" s="237"/>
    </row>
    <row r="687">
      <c r="A687" s="237"/>
    </row>
    <row r="688">
      <c r="A688" s="237"/>
    </row>
    <row r="689">
      <c r="A689" s="237"/>
    </row>
    <row r="690">
      <c r="A690" s="237"/>
    </row>
    <row r="691">
      <c r="A691" s="237"/>
    </row>
    <row r="692">
      <c r="A692" s="237"/>
    </row>
    <row r="693">
      <c r="A693" s="237"/>
    </row>
    <row r="694">
      <c r="A694" s="237"/>
    </row>
    <row r="695">
      <c r="A695" s="237"/>
    </row>
    <row r="696">
      <c r="A696" s="237"/>
    </row>
    <row r="697">
      <c r="A697" s="237"/>
    </row>
    <row r="698">
      <c r="A698" s="237"/>
    </row>
    <row r="699">
      <c r="A699" s="237"/>
    </row>
    <row r="700">
      <c r="A700" s="237"/>
    </row>
    <row r="701">
      <c r="A701" s="237"/>
    </row>
    <row r="702">
      <c r="A702" s="237"/>
    </row>
    <row r="703">
      <c r="A703" s="237"/>
    </row>
    <row r="704">
      <c r="A704" s="237"/>
    </row>
    <row r="705">
      <c r="A705" s="237"/>
    </row>
    <row r="706">
      <c r="A706" s="237"/>
    </row>
    <row r="707">
      <c r="A707" s="237"/>
    </row>
    <row r="708">
      <c r="A708" s="237"/>
    </row>
    <row r="709">
      <c r="A709" s="237"/>
    </row>
    <row r="710">
      <c r="A710" s="237"/>
    </row>
    <row r="711">
      <c r="A711" s="237"/>
    </row>
    <row r="712">
      <c r="A712" s="237"/>
    </row>
    <row r="713">
      <c r="A713" s="237"/>
    </row>
    <row r="714">
      <c r="A714" s="237"/>
    </row>
    <row r="715">
      <c r="A715" s="237"/>
    </row>
    <row r="716">
      <c r="A716" s="237"/>
    </row>
    <row r="717">
      <c r="A717" s="237"/>
    </row>
    <row r="718">
      <c r="A718" s="237"/>
    </row>
    <row r="719">
      <c r="A719" s="237"/>
    </row>
    <row r="720">
      <c r="A720" s="237"/>
    </row>
    <row r="721">
      <c r="A721" s="237"/>
    </row>
    <row r="722">
      <c r="A722" s="237"/>
    </row>
    <row r="723">
      <c r="A723" s="237"/>
    </row>
    <row r="724">
      <c r="A724" s="237"/>
    </row>
    <row r="725">
      <c r="A725" s="237"/>
    </row>
    <row r="726">
      <c r="A726" s="237"/>
    </row>
    <row r="727">
      <c r="A727" s="237"/>
    </row>
    <row r="728">
      <c r="A728" s="237"/>
    </row>
    <row r="729">
      <c r="A729" s="237"/>
    </row>
    <row r="730">
      <c r="A730" s="237"/>
    </row>
    <row r="731">
      <c r="A731" s="237"/>
    </row>
    <row r="732">
      <c r="A732" s="237"/>
    </row>
    <row r="733">
      <c r="A733" s="237"/>
    </row>
    <row r="734">
      <c r="A734" s="237"/>
    </row>
    <row r="735">
      <c r="A735" s="237"/>
    </row>
    <row r="736">
      <c r="A736" s="237"/>
    </row>
    <row r="737">
      <c r="A737" s="237"/>
    </row>
    <row r="738">
      <c r="A738" s="237"/>
    </row>
    <row r="739">
      <c r="A739" s="237"/>
    </row>
    <row r="740">
      <c r="A740" s="237"/>
    </row>
    <row r="741">
      <c r="A741" s="237"/>
    </row>
    <row r="742">
      <c r="A742" s="237"/>
    </row>
    <row r="743">
      <c r="A743" s="237"/>
    </row>
    <row r="744">
      <c r="A744" s="237"/>
    </row>
    <row r="745">
      <c r="A745" s="237"/>
    </row>
    <row r="746">
      <c r="A746" s="237"/>
    </row>
    <row r="747">
      <c r="A747" s="237"/>
    </row>
    <row r="748">
      <c r="A748" s="237"/>
    </row>
    <row r="749">
      <c r="A749" s="237"/>
    </row>
    <row r="750">
      <c r="A750" s="237"/>
    </row>
    <row r="751">
      <c r="A751" s="237"/>
    </row>
    <row r="752">
      <c r="A752" s="237"/>
    </row>
    <row r="753">
      <c r="A753" s="237"/>
    </row>
    <row r="754">
      <c r="A754" s="237"/>
    </row>
    <row r="755">
      <c r="A755" s="237"/>
    </row>
    <row r="756">
      <c r="A756" s="237"/>
    </row>
    <row r="757">
      <c r="A757" s="237"/>
    </row>
    <row r="758">
      <c r="A758" s="237"/>
    </row>
    <row r="759">
      <c r="A759" s="237"/>
    </row>
    <row r="760">
      <c r="A760" s="237"/>
    </row>
    <row r="761">
      <c r="A761" s="237"/>
    </row>
    <row r="762">
      <c r="A762" s="237"/>
    </row>
    <row r="763">
      <c r="A763" s="237"/>
    </row>
    <row r="764">
      <c r="A764" s="237"/>
    </row>
    <row r="765">
      <c r="A765" s="237"/>
    </row>
    <row r="766">
      <c r="A766" s="237"/>
    </row>
    <row r="767">
      <c r="A767" s="237"/>
    </row>
    <row r="768">
      <c r="A768" s="237"/>
    </row>
    <row r="769">
      <c r="A769" s="237"/>
    </row>
    <row r="770">
      <c r="A770" s="237"/>
    </row>
    <row r="771">
      <c r="A771" s="237"/>
    </row>
    <row r="772">
      <c r="A772" s="237"/>
    </row>
    <row r="773">
      <c r="A773" s="237"/>
    </row>
    <row r="774">
      <c r="A774" s="237"/>
    </row>
    <row r="775">
      <c r="A775" s="237"/>
    </row>
    <row r="776">
      <c r="A776" s="237"/>
    </row>
    <row r="777">
      <c r="A777" s="237"/>
    </row>
    <row r="778">
      <c r="A778" s="237"/>
    </row>
    <row r="779">
      <c r="A779" s="237"/>
    </row>
    <row r="780">
      <c r="A780" s="237"/>
    </row>
    <row r="781">
      <c r="A781" s="237"/>
    </row>
    <row r="782">
      <c r="A782" s="237"/>
    </row>
    <row r="783">
      <c r="A783" s="237"/>
    </row>
    <row r="784">
      <c r="A784" s="237"/>
    </row>
    <row r="785">
      <c r="A785" s="237"/>
    </row>
    <row r="786">
      <c r="A786" s="237"/>
    </row>
    <row r="787">
      <c r="A787" s="237"/>
    </row>
    <row r="788">
      <c r="A788" s="237"/>
    </row>
    <row r="789">
      <c r="A789" s="237"/>
    </row>
    <row r="790">
      <c r="A790" s="237"/>
    </row>
    <row r="791">
      <c r="A791" s="237"/>
    </row>
    <row r="792">
      <c r="A792" s="237"/>
    </row>
    <row r="793">
      <c r="A793" s="237"/>
    </row>
    <row r="794">
      <c r="A794" s="237"/>
    </row>
    <row r="795">
      <c r="A795" s="237"/>
    </row>
    <row r="796">
      <c r="A796" s="237"/>
    </row>
    <row r="797">
      <c r="A797" s="237"/>
    </row>
    <row r="798">
      <c r="A798" s="237"/>
    </row>
    <row r="799">
      <c r="A799" s="237"/>
    </row>
    <row r="800">
      <c r="A800" s="237"/>
    </row>
    <row r="801">
      <c r="A801" s="237"/>
    </row>
    <row r="802">
      <c r="A802" s="237"/>
    </row>
    <row r="803">
      <c r="A803" s="237"/>
    </row>
    <row r="804">
      <c r="A804" s="237"/>
    </row>
    <row r="805">
      <c r="A805" s="237"/>
    </row>
    <row r="806">
      <c r="A806" s="237"/>
    </row>
    <row r="807">
      <c r="A807" s="237"/>
    </row>
    <row r="808">
      <c r="A808" s="237"/>
    </row>
    <row r="809">
      <c r="A809" s="237"/>
    </row>
    <row r="810">
      <c r="A810" s="237"/>
    </row>
    <row r="811">
      <c r="A811" s="237"/>
    </row>
    <row r="812">
      <c r="A812" s="237"/>
    </row>
    <row r="813">
      <c r="A813" s="237"/>
    </row>
    <row r="814">
      <c r="A814" s="237"/>
    </row>
    <row r="815">
      <c r="A815" s="237"/>
    </row>
    <row r="816">
      <c r="A816" s="237"/>
    </row>
    <row r="817">
      <c r="A817" s="237"/>
    </row>
    <row r="818">
      <c r="A818" s="237"/>
    </row>
    <row r="819">
      <c r="A819" s="237"/>
    </row>
    <row r="820">
      <c r="A820" s="237"/>
    </row>
    <row r="821">
      <c r="A821" s="237"/>
    </row>
    <row r="822">
      <c r="A822" s="237"/>
    </row>
    <row r="823">
      <c r="A823" s="237"/>
    </row>
    <row r="824">
      <c r="A824" s="237"/>
    </row>
    <row r="825">
      <c r="A825" s="237"/>
    </row>
    <row r="826">
      <c r="A826" s="237"/>
    </row>
    <row r="827">
      <c r="A827" s="237"/>
    </row>
    <row r="828">
      <c r="A828" s="237"/>
    </row>
    <row r="829">
      <c r="A829" s="237"/>
    </row>
    <row r="830">
      <c r="A830" s="237"/>
    </row>
    <row r="831">
      <c r="A831" s="237"/>
    </row>
    <row r="832">
      <c r="A832" s="237"/>
    </row>
    <row r="833">
      <c r="A833" s="237"/>
    </row>
    <row r="834">
      <c r="A834" s="237"/>
    </row>
    <row r="835">
      <c r="A835" s="237"/>
    </row>
    <row r="836">
      <c r="A836" s="237"/>
    </row>
    <row r="837">
      <c r="A837" s="237"/>
    </row>
    <row r="838">
      <c r="A838" s="237"/>
    </row>
    <row r="839">
      <c r="A839" s="237"/>
    </row>
    <row r="840">
      <c r="A840" s="237"/>
    </row>
    <row r="841">
      <c r="A841" s="237"/>
    </row>
    <row r="842">
      <c r="A842" s="237"/>
    </row>
    <row r="843">
      <c r="A843" s="237"/>
    </row>
    <row r="844">
      <c r="A844" s="237"/>
    </row>
    <row r="845">
      <c r="A845" s="237"/>
    </row>
    <row r="846">
      <c r="A846" s="237"/>
    </row>
    <row r="847">
      <c r="A847" s="237"/>
    </row>
    <row r="848">
      <c r="A848" s="237"/>
    </row>
    <row r="849">
      <c r="A849" s="237"/>
    </row>
    <row r="850">
      <c r="A850" s="237"/>
    </row>
    <row r="851">
      <c r="A851" s="237"/>
    </row>
    <row r="852">
      <c r="A852" s="237"/>
    </row>
    <row r="853">
      <c r="A853" s="237"/>
    </row>
    <row r="854">
      <c r="A854" s="237"/>
    </row>
    <row r="855">
      <c r="A855" s="237"/>
    </row>
    <row r="856">
      <c r="A856" s="237"/>
    </row>
    <row r="857">
      <c r="A857" s="237"/>
    </row>
    <row r="858">
      <c r="A858" s="237"/>
    </row>
    <row r="859">
      <c r="A859" s="237"/>
    </row>
    <row r="860">
      <c r="A860" s="237"/>
    </row>
    <row r="861">
      <c r="A861" s="237"/>
    </row>
    <row r="862">
      <c r="A862" s="237"/>
    </row>
    <row r="863">
      <c r="A863" s="237"/>
    </row>
    <row r="864">
      <c r="A864" s="237"/>
    </row>
    <row r="865">
      <c r="A865" s="237"/>
    </row>
    <row r="866">
      <c r="A866" s="237"/>
    </row>
    <row r="867">
      <c r="A867" s="237"/>
    </row>
    <row r="868">
      <c r="A868" s="237"/>
    </row>
    <row r="869">
      <c r="A869" s="237"/>
    </row>
    <row r="870">
      <c r="A870" s="237"/>
    </row>
    <row r="871">
      <c r="A871" s="237"/>
    </row>
    <row r="872">
      <c r="A872" s="237"/>
    </row>
    <row r="873">
      <c r="A873" s="237"/>
    </row>
    <row r="874">
      <c r="A874" s="237"/>
    </row>
    <row r="875">
      <c r="A875" s="237"/>
    </row>
    <row r="876">
      <c r="A876" s="237"/>
    </row>
    <row r="877">
      <c r="A877" s="237"/>
    </row>
    <row r="878">
      <c r="A878" s="237"/>
    </row>
    <row r="879">
      <c r="A879" s="237"/>
    </row>
    <row r="880">
      <c r="A880" s="237"/>
    </row>
    <row r="881">
      <c r="A881" s="237"/>
    </row>
    <row r="882">
      <c r="A882" s="237"/>
    </row>
    <row r="883">
      <c r="A883" s="237"/>
    </row>
    <row r="884">
      <c r="A884" s="237"/>
    </row>
    <row r="885">
      <c r="A885" s="237"/>
    </row>
    <row r="886">
      <c r="A886" s="237"/>
    </row>
    <row r="887">
      <c r="A887" s="237"/>
    </row>
    <row r="888">
      <c r="A888" s="237"/>
    </row>
    <row r="889">
      <c r="A889" s="237"/>
    </row>
    <row r="890">
      <c r="A890" s="237"/>
    </row>
    <row r="891">
      <c r="A891" s="237"/>
    </row>
    <row r="892">
      <c r="A892" s="237"/>
    </row>
    <row r="893">
      <c r="A893" s="237"/>
    </row>
    <row r="894">
      <c r="A894" s="237"/>
    </row>
    <row r="895">
      <c r="A895" s="237"/>
    </row>
    <row r="896">
      <c r="A896" s="237"/>
    </row>
    <row r="897">
      <c r="A897" s="237"/>
    </row>
    <row r="898">
      <c r="A898" s="237"/>
    </row>
    <row r="899">
      <c r="A899" s="237"/>
    </row>
    <row r="900">
      <c r="A900" s="237"/>
    </row>
    <row r="901">
      <c r="A901" s="237"/>
    </row>
    <row r="902">
      <c r="A902" s="237"/>
    </row>
    <row r="903">
      <c r="A903" s="237"/>
    </row>
    <row r="904">
      <c r="A904" s="237"/>
    </row>
    <row r="905">
      <c r="A905" s="237"/>
    </row>
    <row r="906">
      <c r="A906" s="237"/>
    </row>
    <row r="907">
      <c r="A907" s="237"/>
    </row>
    <row r="908">
      <c r="A908" s="237"/>
    </row>
    <row r="909">
      <c r="A909" s="237"/>
    </row>
    <row r="910">
      <c r="A910" s="237"/>
    </row>
    <row r="911">
      <c r="A911" s="237"/>
    </row>
    <row r="912">
      <c r="A912" s="237"/>
    </row>
    <row r="913">
      <c r="A913" s="237"/>
    </row>
    <row r="914">
      <c r="A914" s="237"/>
    </row>
    <row r="915">
      <c r="A915" s="237"/>
    </row>
    <row r="916">
      <c r="A916" s="237"/>
    </row>
    <row r="917">
      <c r="A917" s="237"/>
    </row>
    <row r="918">
      <c r="A918" s="237"/>
    </row>
    <row r="919">
      <c r="A919" s="237"/>
    </row>
    <row r="920">
      <c r="A920" s="237"/>
    </row>
    <row r="921">
      <c r="A921" s="237"/>
    </row>
    <row r="922">
      <c r="A922" s="237"/>
    </row>
    <row r="923">
      <c r="A923" s="237"/>
    </row>
    <row r="924">
      <c r="A924" s="237"/>
    </row>
    <row r="925">
      <c r="A925" s="237"/>
    </row>
    <row r="926">
      <c r="A926" s="237"/>
    </row>
    <row r="927">
      <c r="A927" s="237"/>
    </row>
    <row r="928">
      <c r="A928" s="237"/>
    </row>
    <row r="929">
      <c r="A929" s="237"/>
    </row>
    <row r="930">
      <c r="A930" s="237"/>
    </row>
    <row r="931">
      <c r="A931" s="237"/>
    </row>
    <row r="932">
      <c r="A932" s="237"/>
    </row>
    <row r="933">
      <c r="A933" s="237"/>
    </row>
    <row r="934">
      <c r="A934" s="237"/>
    </row>
    <row r="935">
      <c r="A935" s="237"/>
    </row>
    <row r="936">
      <c r="A936" s="237"/>
    </row>
    <row r="937">
      <c r="A937" s="237"/>
    </row>
    <row r="938">
      <c r="A938" s="237"/>
    </row>
    <row r="939">
      <c r="A939" s="237"/>
    </row>
    <row r="940">
      <c r="A940" s="237"/>
    </row>
    <row r="941">
      <c r="A941" s="237"/>
    </row>
    <row r="942">
      <c r="A942" s="237"/>
    </row>
    <row r="943">
      <c r="A943" s="237"/>
    </row>
    <row r="944">
      <c r="A944" s="237"/>
    </row>
    <row r="945">
      <c r="A945" s="237"/>
    </row>
    <row r="946">
      <c r="A946" s="237"/>
    </row>
    <row r="947">
      <c r="A947" s="237"/>
    </row>
    <row r="948">
      <c r="A948" s="237"/>
    </row>
    <row r="949">
      <c r="A949" s="237"/>
    </row>
    <row r="950">
      <c r="A950" s="237"/>
    </row>
    <row r="951">
      <c r="A951" s="237"/>
    </row>
    <row r="952">
      <c r="A952" s="237"/>
    </row>
    <row r="953">
      <c r="A953" s="237"/>
    </row>
    <row r="954">
      <c r="A954" s="237"/>
    </row>
    <row r="955">
      <c r="A955" s="237"/>
    </row>
    <row r="956">
      <c r="A956" s="237"/>
    </row>
    <row r="957">
      <c r="A957" s="237"/>
    </row>
    <row r="958">
      <c r="A958" s="237"/>
    </row>
    <row r="959">
      <c r="A959" s="237"/>
    </row>
    <row r="960">
      <c r="A960" s="237"/>
    </row>
    <row r="961">
      <c r="A961" s="237"/>
    </row>
    <row r="962">
      <c r="A962" s="237"/>
    </row>
    <row r="963">
      <c r="A963" s="237"/>
    </row>
    <row r="964">
      <c r="A964" s="237"/>
    </row>
    <row r="965">
      <c r="A965" s="237"/>
    </row>
    <row r="966">
      <c r="A966" s="237"/>
    </row>
    <row r="967">
      <c r="A967" s="237"/>
    </row>
    <row r="968">
      <c r="A968" s="237"/>
    </row>
    <row r="969">
      <c r="A969" s="237"/>
    </row>
    <row r="970">
      <c r="A970" s="237"/>
    </row>
    <row r="971">
      <c r="A971" s="237"/>
    </row>
    <row r="972">
      <c r="A972" s="237"/>
    </row>
    <row r="973">
      <c r="A973" s="237"/>
    </row>
    <row r="974">
      <c r="A974" s="237"/>
    </row>
    <row r="975">
      <c r="A975" s="237"/>
    </row>
    <row r="976">
      <c r="A976" s="237"/>
    </row>
    <row r="977">
      <c r="A977" s="237"/>
    </row>
    <row r="978">
      <c r="A978" s="237"/>
    </row>
    <row r="979">
      <c r="A979" s="237"/>
    </row>
    <row r="980">
      <c r="A980" s="237"/>
    </row>
    <row r="981">
      <c r="A981" s="237"/>
    </row>
    <row r="982">
      <c r="A982" s="237"/>
    </row>
    <row r="983">
      <c r="A983" s="237"/>
    </row>
    <row r="984">
      <c r="A984" s="237"/>
    </row>
    <row r="985">
      <c r="A985" s="237"/>
    </row>
    <row r="986">
      <c r="A986" s="237"/>
    </row>
    <row r="987">
      <c r="A987" s="237"/>
    </row>
    <row r="988">
      <c r="A988" s="237"/>
    </row>
    <row r="989">
      <c r="A989" s="237"/>
    </row>
    <row r="990">
      <c r="A990" s="237"/>
    </row>
    <row r="991">
      <c r="A991" s="237"/>
    </row>
    <row r="992">
      <c r="A992" s="237"/>
    </row>
    <row r="993">
      <c r="A993" s="237"/>
    </row>
    <row r="994">
      <c r="A994" s="237"/>
    </row>
    <row r="995">
      <c r="A995" s="237"/>
    </row>
    <row r="996">
      <c r="A996" s="237"/>
    </row>
    <row r="997">
      <c r="A997" s="237"/>
    </row>
    <row r="998">
      <c r="A998" s="237"/>
    </row>
    <row r="999">
      <c r="A999" s="237"/>
    </row>
    <row r="1000">
      <c r="A1000" s="237"/>
    </row>
  </sheetData>
  <mergeCells count="1">
    <mergeCell ref="H56:H57"/>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43.44"/>
    <col customWidth="1" min="2" max="2" width="12.78"/>
    <col customWidth="1" min="3" max="26" width="10.56"/>
  </cols>
  <sheetData>
    <row r="1">
      <c r="A1" s="90" t="s">
        <v>264</v>
      </c>
      <c r="B1" s="2"/>
      <c r="C1" s="2"/>
      <c r="D1" s="2"/>
      <c r="E1" s="2"/>
      <c r="F1" s="2"/>
      <c r="G1" s="2"/>
      <c r="H1" s="2"/>
      <c r="I1" s="2"/>
      <c r="J1" s="2"/>
      <c r="K1" s="2"/>
    </row>
    <row r="2">
      <c r="A2" s="425"/>
    </row>
    <row r="3">
      <c r="A3" s="425" t="s">
        <v>265</v>
      </c>
    </row>
    <row r="4" ht="143.25" customHeight="1">
      <c r="A4" s="425" t="s">
        <v>266</v>
      </c>
    </row>
    <row r="5">
      <c r="A5" s="425"/>
    </row>
    <row r="6">
      <c r="A6" s="90" t="s">
        <v>267</v>
      </c>
      <c r="B6" s="2"/>
      <c r="C6" s="2"/>
      <c r="D6" s="2"/>
      <c r="E6" s="2"/>
      <c r="F6" s="2"/>
      <c r="G6" s="2"/>
      <c r="H6" s="2"/>
      <c r="I6" s="2"/>
      <c r="J6" s="2"/>
      <c r="K6" s="2"/>
      <c r="L6" s="2"/>
      <c r="M6" s="2"/>
      <c r="N6" s="2"/>
      <c r="O6" s="2"/>
      <c r="P6" s="2"/>
      <c r="Q6" s="2"/>
    </row>
    <row r="7">
      <c r="A7" s="2"/>
      <c r="B7" s="477" t="s">
        <v>269</v>
      </c>
      <c r="C7" s="477" t="s">
        <v>270</v>
      </c>
      <c r="D7" s="477" t="s">
        <v>271</v>
      </c>
      <c r="E7" s="477" t="s">
        <v>272</v>
      </c>
      <c r="F7" s="477" t="s">
        <v>273</v>
      </c>
      <c r="G7" s="477" t="s">
        <v>274</v>
      </c>
      <c r="H7" s="477" t="s">
        <v>275</v>
      </c>
      <c r="I7" s="477" t="s">
        <v>276</v>
      </c>
      <c r="J7" s="477" t="s">
        <v>277</v>
      </c>
      <c r="K7" s="477" t="s">
        <v>278</v>
      </c>
      <c r="L7" s="477" t="s">
        <v>279</v>
      </c>
      <c r="M7" s="477" t="s">
        <v>280</v>
      </c>
      <c r="N7" s="2" t="str">
        <f t="shared" ref="N7:Q7" si="1">B7</f>
        <v>January</v>
      </c>
      <c r="O7" s="2" t="str">
        <f t="shared" si="1"/>
        <v>February</v>
      </c>
      <c r="P7" s="2" t="str">
        <f t="shared" si="1"/>
        <v>March</v>
      </c>
      <c r="Q7" s="2" t="str">
        <f t="shared" si="1"/>
        <v>April</v>
      </c>
    </row>
    <row r="8">
      <c r="A8" s="124" t="s">
        <v>281</v>
      </c>
      <c r="B8" s="479">
        <v>10.591253174857798</v>
      </c>
      <c r="C8" s="480">
        <v>10.331654475190337</v>
      </c>
      <c r="D8" s="480">
        <v>8.744324101845399</v>
      </c>
      <c r="E8" s="480">
        <v>6.610730321108424</v>
      </c>
      <c r="F8" s="480">
        <v>3.8731421840134557</v>
      </c>
      <c r="G8" s="480">
        <v>1.7088802014572992</v>
      </c>
      <c r="H8" s="480">
        <v>0.6106722136706592</v>
      </c>
      <c r="I8" s="480">
        <v>0.6739299414673294</v>
      </c>
      <c r="J8" s="480">
        <v>1.929496850100647</v>
      </c>
      <c r="K8" s="480">
        <v>4.642610697691148</v>
      </c>
      <c r="L8" s="480">
        <v>7.933858899133199</v>
      </c>
      <c r="M8" s="480">
        <v>10.331529013493649</v>
      </c>
      <c r="N8" s="481">
        <f t="shared" ref="N8:Q8" si="2">B8</f>
        <v>10.59125317</v>
      </c>
      <c r="O8" s="481">
        <f t="shared" si="2"/>
        <v>10.33165448</v>
      </c>
      <c r="P8" s="481">
        <f t="shared" si="2"/>
        <v>8.744324102</v>
      </c>
      <c r="Q8" s="482">
        <f t="shared" si="2"/>
        <v>6.610730321</v>
      </c>
    </row>
    <row r="9">
      <c r="A9" s="124" t="s">
        <v>283</v>
      </c>
      <c r="B9" s="483">
        <v>31.0</v>
      </c>
      <c r="C9" s="353">
        <v>28.0</v>
      </c>
      <c r="D9" s="353">
        <v>31.0</v>
      </c>
      <c r="E9" s="353">
        <v>30.0</v>
      </c>
      <c r="F9" s="353">
        <v>31.0</v>
      </c>
      <c r="G9" s="353">
        <v>30.0</v>
      </c>
      <c r="H9" s="353">
        <v>31.0</v>
      </c>
      <c r="I9" s="353">
        <v>31.0</v>
      </c>
      <c r="J9" s="353">
        <v>30.0</v>
      </c>
      <c r="K9" s="353">
        <v>31.0</v>
      </c>
      <c r="L9" s="353">
        <v>30.0</v>
      </c>
      <c r="M9" s="353">
        <v>31.0</v>
      </c>
      <c r="N9" s="484">
        <f t="shared" ref="N9:Q9" si="3">B9</f>
        <v>31</v>
      </c>
      <c r="O9" s="484">
        <f t="shared" si="3"/>
        <v>28</v>
      </c>
      <c r="P9" s="484">
        <f t="shared" si="3"/>
        <v>31</v>
      </c>
      <c r="Q9" s="485">
        <f t="shared" si="3"/>
        <v>30</v>
      </c>
    </row>
    <row r="10">
      <c r="A10" s="425"/>
    </row>
    <row r="11">
      <c r="A11" s="425"/>
    </row>
    <row r="12">
      <c r="A12" s="425"/>
    </row>
    <row r="13">
      <c r="A13" s="425"/>
    </row>
    <row r="14">
      <c r="A14" s="425"/>
    </row>
    <row r="15">
      <c r="A15" s="90" t="s">
        <v>284</v>
      </c>
      <c r="B15" s="2" t="s">
        <v>285</v>
      </c>
      <c r="C15" s="2" t="s">
        <v>286</v>
      </c>
      <c r="D15" s="2"/>
    </row>
    <row r="16">
      <c r="A16" s="487" t="s">
        <v>287</v>
      </c>
      <c r="B16" s="488">
        <f>SUMPRODUCT(B8:M8,B9:M9)</f>
        <v>2058.266615</v>
      </c>
      <c r="C16" s="489">
        <f t="shared" ref="C16:C19" si="4">(B16/B$17)</f>
        <v>1.150367534</v>
      </c>
      <c r="D16" s="490"/>
    </row>
    <row r="17">
      <c r="A17" s="487" t="s">
        <v>288</v>
      </c>
      <c r="B17" s="491">
        <f>SUMPRODUCT(K8:Q8,K9:Q9)</f>
        <v>1789.225229</v>
      </c>
      <c r="C17" s="492">
        <f t="shared" si="4"/>
        <v>1</v>
      </c>
      <c r="D17" s="258"/>
    </row>
    <row r="18">
      <c r="A18" s="487" t="s">
        <v>289</v>
      </c>
      <c r="B18" s="491">
        <f>SUMPRODUCT(K$8:P$8,K$9:P$9)</f>
        <v>1590.903319</v>
      </c>
      <c r="C18" s="492">
        <f t="shared" si="4"/>
        <v>0.8891576608</v>
      </c>
      <c r="D18" s="258"/>
    </row>
    <row r="19">
      <c r="A19" s="487" t="s">
        <v>290</v>
      </c>
      <c r="B19" s="491">
        <f>SUMPRODUCT(L$8:Q$8,L$9:Q$9)</f>
        <v>1645.304297</v>
      </c>
      <c r="C19" s="492">
        <f t="shared" si="4"/>
        <v>0.9195624288</v>
      </c>
      <c r="D19" s="258"/>
    </row>
    <row r="20">
      <c r="A20" s="487" t="s">
        <v>292</v>
      </c>
      <c r="B20" s="494">
        <f>SUMPRODUCT(L8:P8,L9:P9)</f>
        <v>1446.982387</v>
      </c>
      <c r="C20" s="495">
        <f>B20/B$17</f>
        <v>0.8087200897</v>
      </c>
      <c r="D20" s="496"/>
    </row>
    <row r="21">
      <c r="A21" s="425"/>
    </row>
    <row r="22">
      <c r="A22" s="90" t="s">
        <v>293</v>
      </c>
      <c r="B22" s="497">
        <v>0.1</v>
      </c>
      <c r="C22" s="98" t="s">
        <v>294</v>
      </c>
    </row>
    <row r="23">
      <c r="A23" s="498"/>
      <c r="B23" s="499"/>
      <c r="C23" s="500"/>
    </row>
    <row r="24">
      <c r="A24" s="90"/>
      <c r="B24" s="501" t="s">
        <v>5</v>
      </c>
      <c r="C24" s="502" t="s">
        <v>6</v>
      </c>
      <c r="D24" s="503" t="s">
        <v>7</v>
      </c>
    </row>
    <row r="25">
      <c r="A25" s="90" t="s">
        <v>295</v>
      </c>
      <c r="B25" s="263">
        <f>1-B22</f>
        <v>0.9</v>
      </c>
      <c r="C25" s="353">
        <f>1</f>
        <v>1</v>
      </c>
      <c r="D25" s="268">
        <f>1+B22</f>
        <v>1.1</v>
      </c>
    </row>
    <row r="26">
      <c r="A26" s="425"/>
      <c r="B26" s="290"/>
      <c r="D26" s="290"/>
    </row>
    <row r="27">
      <c r="A27" s="90" t="s">
        <v>296</v>
      </c>
      <c r="B27" s="497">
        <v>0.75</v>
      </c>
    </row>
    <row r="28">
      <c r="A28" s="425"/>
      <c r="B28" s="290"/>
      <c r="D28" s="290"/>
    </row>
    <row r="29">
      <c r="A29" s="504"/>
      <c r="B29" s="505" t="s">
        <v>30</v>
      </c>
      <c r="C29" s="506"/>
      <c r="D29" s="507"/>
      <c r="E29" s="14" t="s">
        <v>31</v>
      </c>
      <c r="F29" s="506"/>
      <c r="G29" s="508"/>
      <c r="H29" s="14" t="s">
        <v>32</v>
      </c>
      <c r="I29" s="506"/>
      <c r="J29" s="508"/>
    </row>
    <row r="30">
      <c r="A30" s="509" t="s">
        <v>297</v>
      </c>
      <c r="B30" s="511" t="s">
        <v>5</v>
      </c>
      <c r="C30" s="512" t="s">
        <v>6</v>
      </c>
      <c r="D30" s="513" t="s">
        <v>7</v>
      </c>
      <c r="E30" s="511" t="s">
        <v>5</v>
      </c>
      <c r="F30" s="512" t="s">
        <v>6</v>
      </c>
      <c r="G30" s="513" t="s">
        <v>7</v>
      </c>
      <c r="H30" s="514" t="s">
        <v>5</v>
      </c>
      <c r="I30" s="515" t="s">
        <v>6</v>
      </c>
      <c r="J30" s="516" t="s">
        <v>7</v>
      </c>
    </row>
    <row r="31">
      <c r="A31" s="487" t="s">
        <v>288</v>
      </c>
      <c r="B31" s="491">
        <f>MeanDomesticGasBill*$C17*DDFactorLow*PropGasBillDuetoSpHeating</f>
        <v>6666.419032</v>
      </c>
      <c r="C31" s="517">
        <f>MeanDomesticGasBill*$C17*1*PropGasBillDuetoSpHeating</f>
        <v>7407.132257</v>
      </c>
      <c r="D31" s="518">
        <f>MeanDomesticGasBill*$C17*DDFactorHigh*PropGasBillDuetoSpHeating</f>
        <v>8147.845483</v>
      </c>
      <c r="E31" s="491">
        <f>MeanDomesticOilBill*$C17*DDFactorLow*PropGasBillDuetoSpHeating</f>
        <v>11196.86625</v>
      </c>
      <c r="F31" s="517">
        <f>MeanDomesticOilBill*$C17*1*PropGasBillDuetoSpHeating</f>
        <v>12440.9625</v>
      </c>
      <c r="G31" s="517">
        <f>MeanDomesticOilBill*$C17*DDFactorHigh*PropGasBillDuetoSpHeating</f>
        <v>13685.05875</v>
      </c>
      <c r="H31" s="491">
        <f>MeanDomesticElectricHeatingBill*$C17*DDFactorLow*PropGasBillDuetoSpHeating</f>
        <v>3748.557309</v>
      </c>
      <c r="I31" s="517">
        <f>MeanDomesticElectricHeatingBill*$C17*1*PropGasBillDuetoSpHeating</f>
        <v>4165.063677</v>
      </c>
      <c r="J31" s="518">
        <f>MeanDomesticElectricHeatingBill*$C17*DDFactorHigh*PropGasBillDuetoSpHeating</f>
        <v>4581.570044</v>
      </c>
    </row>
    <row r="32">
      <c r="A32" s="487" t="s">
        <v>289</v>
      </c>
      <c r="B32" s="491">
        <f>MeanDomesticGasBill*$C18*DDFactorLow*PropGasBillDuetoSpHeating</f>
        <v>5927.497552</v>
      </c>
      <c r="C32" s="517">
        <f>MeanDomesticGasBill*$C18*1*PropGasBillDuetoSpHeating</f>
        <v>6586.108391</v>
      </c>
      <c r="D32" s="518">
        <f>MeanDomesticGasBill*$C18*DDFactorHigh*PropGasBillDuetoSpHeating</f>
        <v>7244.71923</v>
      </c>
      <c r="E32" s="491">
        <f>MeanDomesticOilBill*$C18*DDFactorLow*PropGasBillDuetoSpHeating</f>
        <v>9955.779402</v>
      </c>
      <c r="F32" s="517">
        <f>MeanDomesticOilBill*$C18*1*PropGasBillDuetoSpHeating</f>
        <v>11061.97711</v>
      </c>
      <c r="G32" s="518">
        <f>MeanDomesticOilBill*$C18*DDFactorHigh*PropGasBillDuetoSpHeating</f>
        <v>12168.17482</v>
      </c>
      <c r="H32" s="491">
        <f>MeanDomesticElectricHeatingBill*$C18*DDFactorLow*PropGasBillDuetoSpHeating</f>
        <v>3333.058448</v>
      </c>
      <c r="I32" s="517">
        <f>MeanDomesticElectricHeatingBill*$C18*1*PropGasBillDuetoSpHeating</f>
        <v>3703.398276</v>
      </c>
      <c r="J32" s="518">
        <f>MeanDomesticElectricHeatingBill*$C18*DDFactorHigh*PropGasBillDuetoSpHeating</f>
        <v>4073.738103</v>
      </c>
    </row>
    <row r="33">
      <c r="A33" s="487" t="str">
        <f t="shared" ref="A33:A34" si="5">A19</f>
        <v>November through April</v>
      </c>
      <c r="B33" s="491">
        <f>MeanDomesticGasBill*$C19*DDFactorLow*PropGasBillDuetoSpHeating</f>
        <v>6130.188476</v>
      </c>
      <c r="C33" s="517">
        <f>MeanDomesticGasBill*$C19*1*PropGasBillDuetoSpHeating</f>
        <v>6811.320529</v>
      </c>
      <c r="D33" s="518">
        <f>MeanDomesticGasBill*$C19*DDFactorHigh*PropGasBillDuetoSpHeating</f>
        <v>7492.452582</v>
      </c>
      <c r="E33" s="491">
        <f>MeanDomesticOilBill*$C19*DDFactorLow*PropGasBillDuetoSpHeating</f>
        <v>10296.21752</v>
      </c>
      <c r="F33" s="517">
        <f>MeanDomesticOilBill*$C19*1*PropGasBillDuetoSpHeating</f>
        <v>11440.24169</v>
      </c>
      <c r="G33" s="518">
        <f>MeanDomesticOilBill*$C19*DDFactorHigh*PropGasBillDuetoSpHeating</f>
        <v>12584.26586</v>
      </c>
      <c r="H33" s="491">
        <f>MeanDomesticElectricHeatingBill*$C19*DDFactorLow*PropGasBillDuetoSpHeating</f>
        <v>3447.032464</v>
      </c>
      <c r="I33" s="517">
        <f>MeanDomesticElectricHeatingBill*$C19*1*PropGasBillDuetoSpHeating</f>
        <v>3830.036071</v>
      </c>
      <c r="J33" s="518">
        <f>MeanDomesticElectricHeatingBill*$C19*DDFactorHigh*PropGasBillDuetoSpHeating</f>
        <v>4213.039678</v>
      </c>
    </row>
    <row r="34">
      <c r="A34" s="487" t="str">
        <f t="shared" si="5"/>
        <v>November through March</v>
      </c>
      <c r="B34" s="494">
        <f>MeanDomesticGasBill*$C20*DDFactorLow*PropGasBillDuetoSpHeating</f>
        <v>5391.266997</v>
      </c>
      <c r="C34" s="520">
        <f>MeanDomesticGasBill*$C20*1*PropGasBillDuetoSpHeating</f>
        <v>5990.296663</v>
      </c>
      <c r="D34" s="521">
        <f>MeanDomesticGasBill*$C20*DDFactorHigh*PropGasBillDuetoSpHeating</f>
        <v>6589.32633</v>
      </c>
      <c r="E34" s="494">
        <f>MeanDomesticOilBill*$C20*DDFactorLow*PropGasBillDuetoSpHeating</f>
        <v>9055.130676</v>
      </c>
      <c r="F34" s="520">
        <f>MeanDomesticOilBill*$C20*1*PropGasBillDuetoSpHeating</f>
        <v>10061.25631</v>
      </c>
      <c r="G34" s="521">
        <f>MeanDomesticOilBill*$C20*DDFactorHigh*PropGasBillDuetoSpHeating</f>
        <v>11067.38194</v>
      </c>
      <c r="H34" s="494">
        <f>MeanDomesticElectricHeatingBill*$C20*DDFactorLow*PropGasBillDuetoSpHeating</f>
        <v>3031.533603</v>
      </c>
      <c r="I34" s="520">
        <f>MeanDomesticElectricHeatingBill*$C20*1*PropGasBillDuetoSpHeating</f>
        <v>3368.37067</v>
      </c>
      <c r="J34" s="521">
        <f>MeanDomesticElectricHeatingBill*$C20*DDFactorHigh*PropGasBillDuetoSpHeating</f>
        <v>3705.207737</v>
      </c>
    </row>
    <row r="35">
      <c r="A35" s="425"/>
    </row>
    <row r="36">
      <c r="A36" s="90" t="s">
        <v>299</v>
      </c>
      <c r="B36" s="2"/>
      <c r="C36" s="2"/>
      <c r="D36" s="2"/>
      <c r="E36" s="2"/>
      <c r="F36" s="2"/>
      <c r="G36" s="2"/>
      <c r="H36" s="2"/>
      <c r="I36" s="2"/>
      <c r="J36" s="2"/>
    </row>
    <row r="37">
      <c r="A37" s="487" t="str">
        <f>A31</f>
        <v>October through April (baseline)</v>
      </c>
      <c r="B37" s="488">
        <f t="shared" ref="B37:B40" si="7">B$31-B31</f>
        <v>0</v>
      </c>
      <c r="C37" s="522">
        <f t="shared" ref="C37:J37" si="6">C31-C$31</f>
        <v>0</v>
      </c>
      <c r="D37" s="522">
        <f t="shared" si="6"/>
        <v>0</v>
      </c>
      <c r="E37" s="522">
        <f t="shared" si="6"/>
        <v>0</v>
      </c>
      <c r="F37" s="522">
        <f t="shared" si="6"/>
        <v>0</v>
      </c>
      <c r="G37" s="522">
        <f t="shared" si="6"/>
        <v>0</v>
      </c>
      <c r="H37" s="522">
        <f t="shared" si="6"/>
        <v>0</v>
      </c>
      <c r="I37" s="522">
        <f t="shared" si="6"/>
        <v>0</v>
      </c>
      <c r="J37" s="523">
        <f t="shared" si="6"/>
        <v>0</v>
      </c>
    </row>
    <row r="38">
      <c r="A38" s="487" t="s">
        <v>289</v>
      </c>
      <c r="B38" s="491">
        <f t="shared" si="7"/>
        <v>738.9214793</v>
      </c>
      <c r="C38" s="517">
        <f t="shared" ref="C38:J38" si="8">C$31-C32</f>
        <v>821.0238659</v>
      </c>
      <c r="D38" s="517">
        <f t="shared" si="8"/>
        <v>903.1262525</v>
      </c>
      <c r="E38" s="517">
        <f t="shared" si="8"/>
        <v>1241.086846</v>
      </c>
      <c r="F38" s="517">
        <f t="shared" si="8"/>
        <v>1378.985385</v>
      </c>
      <c r="G38" s="517">
        <f t="shared" si="8"/>
        <v>1516.883923</v>
      </c>
      <c r="H38" s="517">
        <f t="shared" si="8"/>
        <v>415.4988606</v>
      </c>
      <c r="I38" s="517">
        <f t="shared" si="8"/>
        <v>461.6654007</v>
      </c>
      <c r="J38" s="518">
        <f t="shared" si="8"/>
        <v>507.8319408</v>
      </c>
    </row>
    <row r="39">
      <c r="A39" s="487" t="str">
        <f t="shared" ref="A39:A40" si="10">A33</f>
        <v>November through April</v>
      </c>
      <c r="B39" s="491">
        <f t="shared" si="7"/>
        <v>536.2305552</v>
      </c>
      <c r="C39" s="517">
        <f t="shared" ref="C39:J39" si="9">C$31-C33</f>
        <v>595.811728</v>
      </c>
      <c r="D39" s="517">
        <f t="shared" si="9"/>
        <v>655.3929008</v>
      </c>
      <c r="E39" s="517">
        <f t="shared" si="9"/>
        <v>900.6487255</v>
      </c>
      <c r="F39" s="517">
        <f t="shared" si="9"/>
        <v>1000.720806</v>
      </c>
      <c r="G39" s="517">
        <f t="shared" si="9"/>
        <v>1100.792887</v>
      </c>
      <c r="H39" s="517">
        <f t="shared" si="9"/>
        <v>301.5248453</v>
      </c>
      <c r="I39" s="517">
        <f t="shared" si="9"/>
        <v>335.0276058</v>
      </c>
      <c r="J39" s="518">
        <f t="shared" si="9"/>
        <v>368.5303664</v>
      </c>
    </row>
    <row r="40">
      <c r="A40" s="487" t="str">
        <f t="shared" si="10"/>
        <v>November through March</v>
      </c>
      <c r="B40" s="494">
        <f t="shared" si="7"/>
        <v>1275.152035</v>
      </c>
      <c r="C40" s="520">
        <f t="shared" ref="C40:J40" si="11">C$31-C34</f>
        <v>1416.835594</v>
      </c>
      <c r="D40" s="520">
        <f t="shared" si="11"/>
        <v>1558.519153</v>
      </c>
      <c r="E40" s="520">
        <f t="shared" si="11"/>
        <v>2141.735572</v>
      </c>
      <c r="F40" s="520">
        <f t="shared" si="11"/>
        <v>2379.706191</v>
      </c>
      <c r="G40" s="520">
        <f t="shared" si="11"/>
        <v>2617.67681</v>
      </c>
      <c r="H40" s="520">
        <f t="shared" si="11"/>
        <v>717.0237059</v>
      </c>
      <c r="I40" s="520">
        <f t="shared" si="11"/>
        <v>796.6930065</v>
      </c>
      <c r="J40" s="521">
        <f t="shared" si="11"/>
        <v>876.3623072</v>
      </c>
    </row>
    <row r="41">
      <c r="A41" s="425"/>
      <c r="B41" s="524"/>
      <c r="C41" s="524"/>
      <c r="D41" s="524"/>
      <c r="E41" s="524"/>
      <c r="F41" s="524"/>
      <c r="G41" s="524"/>
      <c r="H41" s="524"/>
      <c r="I41" s="524"/>
      <c r="J41" s="524"/>
    </row>
    <row r="42">
      <c r="A42" s="425"/>
      <c r="B42" s="524"/>
      <c r="C42" s="524"/>
      <c r="D42" s="524"/>
      <c r="E42" s="524"/>
      <c r="F42" s="524"/>
      <c r="G42" s="524"/>
      <c r="H42" s="524"/>
      <c r="I42" s="524"/>
      <c r="J42" s="524"/>
    </row>
    <row r="43">
      <c r="A43" s="425"/>
      <c r="B43" s="501" t="s">
        <v>5</v>
      </c>
      <c r="C43" s="502" t="s">
        <v>6</v>
      </c>
      <c r="D43" s="503" t="s">
        <v>7</v>
      </c>
      <c r="E43" s="524"/>
      <c r="F43" s="524"/>
      <c r="G43" s="524"/>
      <c r="H43" s="524"/>
      <c r="I43" s="524"/>
      <c r="J43" s="524"/>
    </row>
    <row r="44" ht="36.0" customHeight="1">
      <c r="A44" s="90" t="s">
        <v>303</v>
      </c>
      <c r="B44" s="259">
        <f>1-VulnerableHouseholdsLow</f>
        <v>0.7004868757</v>
      </c>
      <c r="C44" s="260">
        <f>1-VulnerableHouseholdsLikely</f>
        <v>0.6873511965</v>
      </c>
      <c r="D44" s="262">
        <f>1-VulnerableHouseholdsHigh</f>
        <v>0.6742155172</v>
      </c>
      <c r="E44" s="524"/>
      <c r="F44" s="524" t="s">
        <v>305</v>
      </c>
      <c r="G44" s="524"/>
      <c r="H44" s="524"/>
      <c r="I44" s="524"/>
      <c r="J44" s="524"/>
    </row>
    <row r="45">
      <c r="A45" s="425"/>
      <c r="B45" s="259"/>
      <c r="C45" s="260"/>
      <c r="D45" s="262"/>
      <c r="E45" s="524"/>
      <c r="F45" s="524"/>
      <c r="G45" s="524"/>
      <c r="H45" s="524"/>
      <c r="I45" s="524"/>
      <c r="J45" s="524"/>
    </row>
    <row r="46">
      <c r="A46" s="498"/>
      <c r="B46" s="501" t="s">
        <v>5</v>
      </c>
      <c r="C46" s="502" t="s">
        <v>6</v>
      </c>
      <c r="D46" s="503" t="s">
        <v>7</v>
      </c>
    </row>
    <row r="47">
      <c r="A47" s="90" t="s">
        <v>306</v>
      </c>
      <c r="B47" s="263">
        <v>0.4</v>
      </c>
      <c r="C47" s="265">
        <v>0.5</v>
      </c>
      <c r="D47" s="268">
        <v>0.6</v>
      </c>
      <c r="F47" s="98" t="s">
        <v>307</v>
      </c>
    </row>
    <row r="48">
      <c r="A48" s="90" t="s">
        <v>308</v>
      </c>
      <c r="B48" s="263">
        <f t="shared" ref="B48:D48" si="12">B47*B44</f>
        <v>0.2801947503</v>
      </c>
      <c r="C48" s="265">
        <f t="shared" si="12"/>
        <v>0.3436755982</v>
      </c>
      <c r="D48" s="268">
        <f t="shared" si="12"/>
        <v>0.4045293103</v>
      </c>
    </row>
    <row r="49">
      <c r="A49" s="425"/>
    </row>
    <row r="50">
      <c r="A50" s="425"/>
    </row>
    <row r="51">
      <c r="A51" s="425"/>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36.33"/>
    <col customWidth="1" min="2" max="2" width="13.11"/>
    <col customWidth="1" min="3" max="3" width="20.33"/>
    <col customWidth="1" min="4" max="4" width="17.11"/>
    <col customWidth="1" min="5" max="5" width="10.56"/>
    <col customWidth="1" min="6" max="6" width="15.44"/>
    <col customWidth="1" min="7" max="44" width="10.56"/>
  </cols>
  <sheetData>
    <row r="1">
      <c r="A1" s="1" t="s">
        <v>316</v>
      </c>
      <c r="B1" s="2"/>
      <c r="C1" s="2"/>
      <c r="D1" s="2"/>
      <c r="E1" s="2"/>
      <c r="F1" s="2"/>
      <c r="G1" s="2"/>
      <c r="H1" s="2"/>
      <c r="I1" s="2"/>
    </row>
    <row r="3" ht="30.0" customHeight="1">
      <c r="A3" s="425" t="s">
        <v>317</v>
      </c>
      <c r="J3" s="425"/>
    </row>
    <row r="4" ht="31.5" customHeight="1">
      <c r="A4" s="425" t="s">
        <v>318</v>
      </c>
    </row>
    <row r="5" ht="15.75" customHeight="1">
      <c r="A5" s="425" t="s">
        <v>319</v>
      </c>
      <c r="J5" s="425"/>
    </row>
    <row r="6" ht="30.75" customHeight="1">
      <c r="A6" s="425" t="s">
        <v>320</v>
      </c>
      <c r="J6" s="425"/>
    </row>
    <row r="7" ht="78.0" customHeight="1">
      <c r="A7" s="425" t="s">
        <v>321</v>
      </c>
    </row>
    <row r="11">
      <c r="A11" s="1" t="s">
        <v>322</v>
      </c>
      <c r="B11" s="1"/>
      <c r="C11" s="2"/>
      <c r="D11" s="2"/>
      <c r="E11" s="2"/>
      <c r="F11" s="2"/>
      <c r="G11" s="2"/>
      <c r="H11" s="2"/>
      <c r="I11" s="1"/>
      <c r="J11" s="26"/>
      <c r="Q11" s="26"/>
      <c r="R11" s="26"/>
      <c r="Y11" s="26"/>
      <c r="Z11" s="26"/>
      <c r="AG11" s="26"/>
      <c r="AH11" s="26"/>
      <c r="AO11" s="26"/>
      <c r="AP11" s="26"/>
    </row>
    <row r="12">
      <c r="A12" s="26"/>
      <c r="B12" s="26"/>
      <c r="I12" s="26"/>
      <c r="J12" s="26"/>
      <c r="Q12" s="26"/>
      <c r="R12" s="26"/>
      <c r="Y12" s="26"/>
      <c r="Z12" s="26"/>
      <c r="AG12" s="26"/>
      <c r="AH12" s="26"/>
      <c r="AO12" s="26"/>
      <c r="AP12" s="26"/>
    </row>
    <row r="13">
      <c r="A13" s="26" t="s">
        <v>323</v>
      </c>
      <c r="B13" s="26" t="s">
        <v>324</v>
      </c>
      <c r="C13" s="98" t="s">
        <v>325</v>
      </c>
      <c r="I13" s="26"/>
      <c r="J13" s="26"/>
      <c r="Q13" s="26"/>
      <c r="R13" s="26"/>
      <c r="Y13" s="26"/>
      <c r="Z13" s="26"/>
      <c r="AA13" s="26"/>
      <c r="AB13" s="26"/>
      <c r="AC13" s="26"/>
      <c r="AD13" s="26"/>
      <c r="AE13" s="26"/>
      <c r="AF13" s="26"/>
      <c r="AG13" s="26"/>
      <c r="AH13" s="26"/>
      <c r="AI13" s="26"/>
      <c r="AJ13" s="26"/>
      <c r="AK13" s="26"/>
      <c r="AL13" s="26"/>
      <c r="AM13" s="26"/>
      <c r="AN13" s="26"/>
      <c r="AO13" s="26"/>
      <c r="AP13" s="26"/>
      <c r="AQ13" s="26"/>
      <c r="AR13" s="26"/>
    </row>
    <row r="14">
      <c r="A14" s="512" t="s">
        <v>326</v>
      </c>
      <c r="B14" s="532" t="s">
        <v>327</v>
      </c>
      <c r="C14" s="533" t="s">
        <v>328</v>
      </c>
      <c r="D14" s="533" t="s">
        <v>329</v>
      </c>
      <c r="E14" s="533" t="s">
        <v>330</v>
      </c>
      <c r="F14" s="533" t="s">
        <v>331</v>
      </c>
      <c r="G14" s="533" t="s">
        <v>332</v>
      </c>
      <c r="H14" s="533" t="s">
        <v>333</v>
      </c>
      <c r="I14" s="533" t="s">
        <v>334</v>
      </c>
      <c r="J14" s="533" t="s">
        <v>335</v>
      </c>
      <c r="K14" s="533" t="s">
        <v>336</v>
      </c>
      <c r="L14" s="533" t="s">
        <v>337</v>
      </c>
      <c r="M14" s="533" t="s">
        <v>338</v>
      </c>
      <c r="N14" s="533" t="s">
        <v>339</v>
      </c>
      <c r="O14" s="533" t="s">
        <v>340</v>
      </c>
      <c r="P14" s="533" t="s">
        <v>341</v>
      </c>
      <c r="Q14" s="533" t="s">
        <v>342</v>
      </c>
      <c r="R14" s="533" t="s">
        <v>343</v>
      </c>
      <c r="S14" s="533" t="s">
        <v>344</v>
      </c>
      <c r="T14" s="533" t="s">
        <v>345</v>
      </c>
      <c r="U14" s="533" t="s">
        <v>346</v>
      </c>
      <c r="V14" s="533" t="s">
        <v>347</v>
      </c>
      <c r="W14" s="533" t="s">
        <v>348</v>
      </c>
      <c r="X14" s="534" t="s">
        <v>349</v>
      </c>
      <c r="Y14" s="26"/>
      <c r="Z14" s="26"/>
      <c r="AG14" s="26"/>
      <c r="AH14" s="26"/>
      <c r="AO14" s="26"/>
      <c r="AP14" s="26"/>
    </row>
    <row r="15">
      <c r="A15" s="512" t="s">
        <v>350</v>
      </c>
      <c r="B15" s="535">
        <v>197110.0</v>
      </c>
      <c r="C15" s="536">
        <v>213200.0</v>
      </c>
      <c r="D15" s="536">
        <v>224540.0</v>
      </c>
      <c r="E15" s="536">
        <v>234270.0</v>
      </c>
      <c r="F15" s="536">
        <v>223500.0</v>
      </c>
      <c r="G15" s="536">
        <v>219550.0</v>
      </c>
      <c r="H15" s="536">
        <v>119390.0</v>
      </c>
      <c r="I15" s="536">
        <v>124230.0</v>
      </c>
      <c r="J15" s="536">
        <v>138390.0</v>
      </c>
      <c r="K15" s="536">
        <v>136220.0</v>
      </c>
      <c r="L15" s="536">
        <v>127300.0</v>
      </c>
      <c r="M15" s="536">
        <v>162270.0</v>
      </c>
      <c r="N15" s="536">
        <v>173050.0</v>
      </c>
      <c r="O15" s="536">
        <v>175640.0</v>
      </c>
      <c r="P15" s="536">
        <v>194470.0</v>
      </c>
      <c r="Q15" s="536">
        <v>197060.0</v>
      </c>
      <c r="R15" s="536">
        <v>204120.0</v>
      </c>
      <c r="S15" s="536">
        <v>187170.0</v>
      </c>
      <c r="T15" s="536">
        <v>170900.0</v>
      </c>
      <c r="U15" s="536">
        <v>209450.0</v>
      </c>
      <c r="V15" s="536">
        <v>206760.0</v>
      </c>
      <c r="W15" s="536">
        <v>164290.0</v>
      </c>
      <c r="X15" s="537">
        <v>138990.0</v>
      </c>
      <c r="Y15" s="26"/>
      <c r="Z15" s="26"/>
      <c r="AG15" s="26"/>
      <c r="AH15" s="26"/>
      <c r="AO15" s="26"/>
      <c r="AP15" s="26"/>
    </row>
    <row r="16">
      <c r="A16" s="512" t="s">
        <v>351</v>
      </c>
      <c r="B16" s="538">
        <f>SUM(B15:X15)</f>
        <v>4141870</v>
      </c>
      <c r="Y16" s="26"/>
      <c r="Z16" s="26"/>
      <c r="AG16" s="26"/>
      <c r="AH16" s="26"/>
      <c r="AO16" s="26"/>
      <c r="AP16" s="26"/>
    </row>
    <row r="17">
      <c r="A17" s="512" t="s">
        <v>352</v>
      </c>
      <c r="B17" s="539">
        <f>Assumptions!C123</f>
        <v>30651800</v>
      </c>
      <c r="Y17" s="26"/>
      <c r="Z17" s="26"/>
      <c r="AG17" s="26"/>
      <c r="AH17" s="26"/>
      <c r="AO17" s="26"/>
      <c r="AP17" s="26"/>
    </row>
    <row r="18">
      <c r="A18" s="512" t="s">
        <v>353</v>
      </c>
      <c r="B18" s="541">
        <f>B16/B17</f>
        <v>0.1351264852</v>
      </c>
      <c r="Y18" s="26"/>
      <c r="Z18" s="26"/>
      <c r="AG18" s="26"/>
      <c r="AH18" s="26"/>
      <c r="AO18" s="26"/>
      <c r="AP18" s="26"/>
    </row>
    <row r="19">
      <c r="A19" s="509" t="s">
        <v>354</v>
      </c>
      <c r="B19" s="542">
        <v>0.5</v>
      </c>
      <c r="C19" s="425" t="s">
        <v>123</v>
      </c>
      <c r="D19" s="425"/>
      <c r="E19" s="425"/>
      <c r="F19" s="425"/>
      <c r="G19" s="425"/>
      <c r="H19" s="425"/>
      <c r="I19" s="425"/>
      <c r="J19" s="425"/>
      <c r="K19" s="425"/>
      <c r="L19" s="425"/>
      <c r="M19" s="425"/>
      <c r="N19" s="425"/>
      <c r="O19" s="425"/>
      <c r="P19" s="425"/>
      <c r="Q19" s="425"/>
      <c r="R19" s="425"/>
      <c r="S19" s="425"/>
      <c r="T19" s="425"/>
      <c r="U19" s="425"/>
      <c r="V19" s="425"/>
      <c r="W19" s="425"/>
      <c r="X19" s="425"/>
      <c r="Y19" s="498"/>
      <c r="Z19" s="498"/>
      <c r="AA19" s="425"/>
      <c r="AB19" s="425"/>
      <c r="AC19" s="425"/>
      <c r="AD19" s="425"/>
      <c r="AE19" s="425"/>
      <c r="AF19" s="425"/>
      <c r="AG19" s="498"/>
      <c r="AH19" s="498"/>
      <c r="AI19" s="425"/>
      <c r="AJ19" s="425"/>
      <c r="AK19" s="425"/>
      <c r="AL19" s="425"/>
      <c r="AM19" s="425"/>
      <c r="AN19" s="425"/>
      <c r="AO19" s="498"/>
      <c r="AP19" s="498"/>
      <c r="AQ19" s="425"/>
      <c r="AR19" s="425"/>
    </row>
    <row r="20">
      <c r="A20" s="26"/>
      <c r="B20" s="543"/>
      <c r="I20" s="26"/>
      <c r="J20" s="26"/>
      <c r="Q20" s="26"/>
      <c r="R20" s="26"/>
      <c r="Y20" s="26"/>
      <c r="Z20" s="26"/>
      <c r="AG20" s="26"/>
      <c r="AH20" s="26"/>
      <c r="AO20" s="26"/>
      <c r="AP20" s="26"/>
    </row>
    <row r="21">
      <c r="A21" s="98" t="s">
        <v>355</v>
      </c>
      <c r="B21" s="544"/>
      <c r="I21" s="26"/>
      <c r="J21" s="26"/>
      <c r="Q21" s="26"/>
      <c r="R21" s="26"/>
      <c r="Y21" s="26"/>
      <c r="Z21" s="26"/>
      <c r="AG21" s="26"/>
      <c r="AH21" s="26"/>
      <c r="AO21" s="26"/>
      <c r="AP21" s="26"/>
    </row>
    <row r="22">
      <c r="A22" s="3"/>
      <c r="B22" s="506" t="s">
        <v>5</v>
      </c>
      <c r="C22" s="506" t="s">
        <v>6</v>
      </c>
      <c r="D22" s="508" t="s">
        <v>7</v>
      </c>
      <c r="G22" s="1" t="s">
        <v>58</v>
      </c>
    </row>
    <row r="23">
      <c r="A23" s="352" t="s">
        <v>357</v>
      </c>
      <c r="B23" s="545">
        <v>0.0</v>
      </c>
      <c r="C23" s="546">
        <f>(B23+D23)/2</f>
        <v>0.04</v>
      </c>
      <c r="D23" s="547">
        <v>0.08</v>
      </c>
      <c r="G23" s="98" t="s">
        <v>358</v>
      </c>
      <c r="H23" s="98" t="s">
        <v>359</v>
      </c>
      <c r="L23" s="290"/>
      <c r="M23" s="290"/>
    </row>
    <row r="24">
      <c r="C24" s="330"/>
      <c r="D24" s="330"/>
      <c r="E24" s="330"/>
      <c r="K24" s="330"/>
      <c r="L24" s="330"/>
      <c r="M24" s="330"/>
      <c r="S24" s="330"/>
    </row>
    <row r="26">
      <c r="A26" s="3"/>
      <c r="B26" s="506" t="s">
        <v>360</v>
      </c>
      <c r="C26" s="506" t="s">
        <v>361</v>
      </c>
      <c r="D26" s="508" t="s">
        <v>362</v>
      </c>
      <c r="E26" s="548"/>
    </row>
    <row r="27">
      <c r="A27" s="257" t="s">
        <v>363</v>
      </c>
      <c r="B27" s="549">
        <v>0.76</v>
      </c>
      <c r="C27" s="550">
        <v>2.0</v>
      </c>
      <c r="D27" s="551">
        <v>2.0</v>
      </c>
      <c r="G27" s="98" t="s">
        <v>233</v>
      </c>
    </row>
    <row r="28">
      <c r="A28" s="352" t="s">
        <v>364</v>
      </c>
      <c r="B28" s="552">
        <v>1.5</v>
      </c>
      <c r="C28" s="350">
        <v>1.5</v>
      </c>
      <c r="D28" s="553">
        <v>8.0</v>
      </c>
      <c r="G28" s="98" t="s">
        <v>233</v>
      </c>
    </row>
    <row r="30">
      <c r="A30" s="26" t="s">
        <v>365</v>
      </c>
    </row>
    <row r="31">
      <c r="A31" s="14" t="s">
        <v>366</v>
      </c>
      <c r="B31" s="506" t="s">
        <v>360</v>
      </c>
      <c r="C31" s="506" t="s">
        <v>361</v>
      </c>
      <c r="D31" s="506" t="s">
        <v>367</v>
      </c>
      <c r="E31" s="506" t="s">
        <v>362</v>
      </c>
      <c r="F31" s="506" t="s">
        <v>368</v>
      </c>
      <c r="G31" s="508" t="s">
        <v>369</v>
      </c>
    </row>
    <row r="32">
      <c r="A32" s="257" t="s">
        <v>304</v>
      </c>
      <c r="B32" s="215">
        <f t="shared" ref="B32:C32" si="1">B27</f>
        <v>0.76</v>
      </c>
      <c r="C32" s="145">
        <f t="shared" si="1"/>
        <v>2</v>
      </c>
      <c r="D32" s="145">
        <f t="shared" ref="D32:D33" si="3">2*(B32+C32)</f>
        <v>5.52</v>
      </c>
      <c r="E32" s="145">
        <f t="shared" ref="E32:E33" si="4">D27</f>
        <v>2</v>
      </c>
      <c r="F32" s="145">
        <f t="shared" ref="F32:F33" si="5">D32*E32</f>
        <v>11.04</v>
      </c>
      <c r="G32" s="554">
        <f t="shared" ref="G32:G33" si="6">F32/SUM(F$32:F$33)</f>
        <v>0.1869918699</v>
      </c>
    </row>
    <row r="33">
      <c r="A33" s="352" t="s">
        <v>370</v>
      </c>
      <c r="B33" s="528">
        <f t="shared" ref="B33:C33" si="2">B28</f>
        <v>1.5</v>
      </c>
      <c r="C33" s="194">
        <f t="shared" si="2"/>
        <v>1.5</v>
      </c>
      <c r="D33" s="194">
        <f t="shared" si="3"/>
        <v>6</v>
      </c>
      <c r="E33" s="194">
        <f t="shared" si="4"/>
        <v>8</v>
      </c>
      <c r="F33" s="194">
        <f t="shared" si="5"/>
        <v>48</v>
      </c>
      <c r="G33" s="555">
        <f t="shared" si="6"/>
        <v>0.8130081301</v>
      </c>
    </row>
    <row r="35">
      <c r="A35" s="14" t="s">
        <v>371</v>
      </c>
      <c r="B35" s="505" t="s">
        <v>30</v>
      </c>
      <c r="C35" s="506"/>
      <c r="D35" s="507"/>
      <c r="E35" s="14" t="s">
        <v>31</v>
      </c>
      <c r="F35" s="506"/>
      <c r="G35" s="508"/>
      <c r="H35" s="14" t="s">
        <v>32</v>
      </c>
      <c r="I35" s="506"/>
      <c r="J35" s="508"/>
    </row>
    <row r="36">
      <c r="A36" s="257"/>
      <c r="B36" s="362" t="s">
        <v>5</v>
      </c>
      <c r="C36" s="363" t="s">
        <v>6</v>
      </c>
      <c r="D36" s="365" t="s">
        <v>7</v>
      </c>
      <c r="E36" s="362" t="s">
        <v>5</v>
      </c>
      <c r="F36" s="363" t="s">
        <v>6</v>
      </c>
      <c r="G36" s="365" t="s">
        <v>7</v>
      </c>
      <c r="H36" s="556" t="s">
        <v>5</v>
      </c>
      <c r="I36" s="557" t="s">
        <v>6</v>
      </c>
      <c r="J36" s="558" t="s">
        <v>7</v>
      </c>
    </row>
    <row r="37">
      <c r="A37" s="257" t="s">
        <v>304</v>
      </c>
      <c r="B37" s="559">
        <f t="shared" ref="B37:D37" si="7">$G32*B$23</f>
        <v>0</v>
      </c>
      <c r="C37" s="561">
        <f t="shared" si="7"/>
        <v>0.007479674797</v>
      </c>
      <c r="D37" s="561">
        <f t="shared" si="7"/>
        <v>0.01495934959</v>
      </c>
      <c r="E37" s="561">
        <f t="shared" ref="E37:G37" si="8">$G32*B$23</f>
        <v>0</v>
      </c>
      <c r="F37" s="561">
        <f t="shared" si="8"/>
        <v>0.007479674797</v>
      </c>
      <c r="G37" s="561">
        <f t="shared" si="8"/>
        <v>0.01495934959</v>
      </c>
      <c r="H37" s="561">
        <f t="shared" ref="H37:J37" si="9">$G32*B$23</f>
        <v>0</v>
      </c>
      <c r="I37" s="561">
        <f t="shared" si="9"/>
        <v>0.007479674797</v>
      </c>
      <c r="J37" s="562">
        <f t="shared" si="9"/>
        <v>0.01495934959</v>
      </c>
    </row>
    <row r="38">
      <c r="A38" s="352" t="s">
        <v>311</v>
      </c>
      <c r="B38" s="563">
        <f t="shared" ref="B38:D38" si="10">$G33*B$23</f>
        <v>0</v>
      </c>
      <c r="C38" s="267">
        <f t="shared" si="10"/>
        <v>0.0325203252</v>
      </c>
      <c r="D38" s="267">
        <f t="shared" si="10"/>
        <v>0.06504065041</v>
      </c>
      <c r="E38" s="267">
        <f t="shared" ref="E38:G38" si="11">$G33*B$23</f>
        <v>0</v>
      </c>
      <c r="F38" s="267">
        <f t="shared" si="11"/>
        <v>0.0325203252</v>
      </c>
      <c r="G38" s="267">
        <f t="shared" si="11"/>
        <v>0.06504065041</v>
      </c>
      <c r="H38" s="267">
        <f t="shared" ref="H38:J38" si="12">$G33*B$23</f>
        <v>0</v>
      </c>
      <c r="I38" s="267">
        <f t="shared" si="12"/>
        <v>0.0325203252</v>
      </c>
      <c r="J38" s="564">
        <f t="shared" si="12"/>
        <v>0.06504065041</v>
      </c>
    </row>
    <row r="40">
      <c r="B40" s="290"/>
      <c r="D40" s="290"/>
    </row>
    <row r="41">
      <c r="A41" s="90" t="s">
        <v>215</v>
      </c>
      <c r="B41" s="565" t="s">
        <v>5</v>
      </c>
      <c r="C41" s="338" t="s">
        <v>6</v>
      </c>
      <c r="D41" s="338" t="s">
        <v>7</v>
      </c>
    </row>
    <row r="42">
      <c r="A42" s="124" t="s">
        <v>373</v>
      </c>
      <c r="B42" s="414">
        <f>C$42*0.8</f>
        <v>0.6918988118</v>
      </c>
      <c r="C42" s="566">
        <f>1-B$18</f>
        <v>0.8648735148</v>
      </c>
      <c r="D42" s="554">
        <f>C$42*1.1</f>
        <v>0.9513608662</v>
      </c>
    </row>
    <row r="43">
      <c r="A43" s="124" t="s">
        <v>374</v>
      </c>
      <c r="B43" s="567">
        <f>B42*PropAlreadyDraughts</f>
        <v>0.3459494059</v>
      </c>
      <c r="C43" s="568">
        <f>C42*PropAlreadyDraughts</f>
        <v>0.4324367574</v>
      </c>
      <c r="D43" s="555">
        <f>D42*PropAlreadyDraughts</f>
        <v>0.4756804331</v>
      </c>
    </row>
    <row r="44">
      <c r="B44" s="290"/>
      <c r="C44" s="290"/>
      <c r="D44" s="290"/>
    </row>
    <row r="45">
      <c r="A45" s="1" t="s">
        <v>299</v>
      </c>
      <c r="B45" s="2"/>
      <c r="C45" s="2"/>
      <c r="D45" s="2"/>
      <c r="E45" s="2"/>
      <c r="F45" s="2"/>
      <c r="G45" s="2"/>
      <c r="H45" s="2"/>
      <c r="I45" s="2"/>
      <c r="J45" s="2"/>
      <c r="K45" s="465" t="s">
        <v>375</v>
      </c>
      <c r="L45" s="9"/>
      <c r="M45" s="9"/>
      <c r="N45" s="9"/>
      <c r="O45" s="9"/>
      <c r="P45" s="9"/>
      <c r="Q45" s="9"/>
      <c r="R45" s="9"/>
      <c r="S45" s="10"/>
    </row>
    <row r="46">
      <c r="B46" s="505" t="s">
        <v>30</v>
      </c>
      <c r="C46" s="506"/>
      <c r="D46" s="507"/>
      <c r="E46" s="14" t="s">
        <v>31</v>
      </c>
      <c r="F46" s="506"/>
      <c r="G46" s="508"/>
      <c r="H46" s="14" t="s">
        <v>32</v>
      </c>
      <c r="I46" s="506"/>
      <c r="J46" s="508"/>
      <c r="K46" s="468" t="s">
        <v>30</v>
      </c>
      <c r="L46" s="469"/>
      <c r="M46" s="470"/>
      <c r="N46" s="468" t="s">
        <v>31</v>
      </c>
      <c r="O46" s="469"/>
      <c r="P46" s="470"/>
      <c r="Q46" s="60" t="s">
        <v>32</v>
      </c>
      <c r="R46" s="57"/>
      <c r="S46" s="58"/>
    </row>
    <row r="47">
      <c r="A47" s="26" t="s">
        <v>376</v>
      </c>
      <c r="B47" s="511" t="s">
        <v>5</v>
      </c>
      <c r="C47" s="512" t="s">
        <v>6</v>
      </c>
      <c r="D47" s="513" t="s">
        <v>7</v>
      </c>
      <c r="E47" s="511" t="s">
        <v>5</v>
      </c>
      <c r="F47" s="512" t="s">
        <v>6</v>
      </c>
      <c r="G47" s="513" t="s">
        <v>7</v>
      </c>
      <c r="H47" s="514" t="s">
        <v>5</v>
      </c>
      <c r="I47" s="515" t="s">
        <v>6</v>
      </c>
      <c r="J47" s="516" t="s">
        <v>7</v>
      </c>
      <c r="K47" s="74" t="s">
        <v>5</v>
      </c>
      <c r="L47" s="69" t="s">
        <v>6</v>
      </c>
      <c r="M47" s="70" t="s">
        <v>7</v>
      </c>
      <c r="N47" s="74" t="s">
        <v>5</v>
      </c>
      <c r="O47" s="69" t="s">
        <v>6</v>
      </c>
      <c r="P47" s="70" t="s">
        <v>7</v>
      </c>
      <c r="Q47" s="74" t="s">
        <v>5</v>
      </c>
      <c r="R47" s="69" t="s">
        <v>6</v>
      </c>
      <c r="S47" s="70" t="s">
        <v>7</v>
      </c>
    </row>
    <row r="48">
      <c r="A48" s="124" t="s">
        <v>377</v>
      </c>
      <c r="B48" s="569"/>
      <c r="C48" s="570"/>
      <c r="D48" s="570"/>
      <c r="E48" s="570"/>
      <c r="F48" s="570"/>
      <c r="G48" s="570"/>
      <c r="H48" s="570"/>
      <c r="I48" s="570"/>
      <c r="J48" s="570"/>
      <c r="K48" s="569"/>
      <c r="L48" s="570"/>
      <c r="M48" s="570"/>
      <c r="N48" s="570"/>
      <c r="O48" s="570"/>
      <c r="P48" s="570"/>
      <c r="Q48" s="570"/>
      <c r="R48" s="570"/>
      <c r="S48" s="490"/>
      <c r="T48" s="524"/>
    </row>
    <row r="49">
      <c r="A49" s="124" t="s">
        <v>304</v>
      </c>
      <c r="B49" s="491">
        <f>B37*MeanDomesticGasBill</f>
        <v>0</v>
      </c>
      <c r="C49" s="517">
        <f>C37*MeanDomesticGasBill</f>
        <v>73.87058728</v>
      </c>
      <c r="D49" s="517">
        <f>D37*MeanDomesticGasBill</f>
        <v>147.7411746</v>
      </c>
      <c r="E49" s="517">
        <f>E37*MeanDomesticOilBill</f>
        <v>0</v>
      </c>
      <c r="F49" s="517">
        <f>F37*MeanDomesticOilBill</f>
        <v>124.0724715</v>
      </c>
      <c r="G49" s="517">
        <f>G37*MeanDomesticOilBill</f>
        <v>248.144943</v>
      </c>
      <c r="H49" s="517">
        <f>H37*MeanDomesticElectricHeatingBill</f>
        <v>0</v>
      </c>
      <c r="I49" s="517">
        <f>I37*MeanDomesticElectricHeatingBill</f>
        <v>41.53776241</v>
      </c>
      <c r="J49" s="517">
        <f>J37*MeanDomesticElectricHeatingBill</f>
        <v>83.07552482</v>
      </c>
      <c r="K49" s="315">
        <f>TotalGasBoilers * B$43/1000000</f>
        <v>8.862074674</v>
      </c>
      <c r="L49" s="316">
        <f>TotalGasBoilers * C$43/1000000</f>
        <v>11.07759334</v>
      </c>
      <c r="M49" s="316">
        <f>TotalGasBoilers * D$43/1000000</f>
        <v>12.18535268</v>
      </c>
      <c r="N49" s="316">
        <f>TotalOilBoilers*B$43/1000000</f>
        <v>0.5663520427</v>
      </c>
      <c r="O49" s="316">
        <f>TotalOilBoilers*C$43/1000000</f>
        <v>0.7079400533</v>
      </c>
      <c r="P49" s="316">
        <f>TotalOilBoilers*D$43/1000000</f>
        <v>0.7787340587</v>
      </c>
      <c r="Q49" s="316">
        <f>B$43*(TotalOtherElectricHeaters+TotalStorageHeaters)/1000000</f>
        <v>0.8084719993</v>
      </c>
      <c r="R49" s="316">
        <f>C$43*(TotalOtherElectricHeaters+TotalStorageHeaters)/1000000</f>
        <v>1.010589999</v>
      </c>
      <c r="S49" s="317">
        <f>D$43*(TotalOtherElectricHeaters+TotalStorageHeaters)/1000000</f>
        <v>1.111648999</v>
      </c>
    </row>
    <row r="50">
      <c r="A50" s="124" t="s">
        <v>311</v>
      </c>
      <c r="B50" s="491">
        <f>B38*MeanDomesticGasBill</f>
        <v>0</v>
      </c>
      <c r="C50" s="517">
        <f>C38*MeanDomesticGasBill</f>
        <v>321.1764664</v>
      </c>
      <c r="D50" s="517">
        <f>D38*MeanDomesticGasBill</f>
        <v>642.3529329</v>
      </c>
      <c r="E50" s="517">
        <f>E38*MeanDomesticOilBill</f>
        <v>0</v>
      </c>
      <c r="F50" s="517">
        <f>F38*MeanDomesticOilBill</f>
        <v>539.4455284</v>
      </c>
      <c r="G50" s="517">
        <f>G38*MeanDomesticOilBill</f>
        <v>1078.891057</v>
      </c>
      <c r="H50" s="517">
        <f>H38*MeanDomesticElectricHeatingBill</f>
        <v>0</v>
      </c>
      <c r="I50" s="517">
        <f>I38*MeanDomesticElectricHeatingBill</f>
        <v>180.598967</v>
      </c>
      <c r="J50" s="517">
        <f>J38*MeanDomesticElectricHeatingBill</f>
        <v>361.197934</v>
      </c>
      <c r="K50" s="315">
        <f>TotalGasBoilers * B$43/1000000</f>
        <v>8.862074674</v>
      </c>
      <c r="L50" s="316">
        <f>TotalGasBoilers * C$43/1000000</f>
        <v>11.07759334</v>
      </c>
      <c r="M50" s="316">
        <f>TotalGasBoilers * D$43/1000000</f>
        <v>12.18535268</v>
      </c>
      <c r="N50" s="316">
        <f>TotalOilBoilers*B$43/1000000</f>
        <v>0.5663520427</v>
      </c>
      <c r="O50" s="316">
        <f>TotalOilBoilers*C$43/1000000</f>
        <v>0.7079400533</v>
      </c>
      <c r="P50" s="316">
        <f>TotalOilBoilers*D$43/1000000</f>
        <v>0.7787340587</v>
      </c>
      <c r="Q50" s="316">
        <f>B$43*(TotalOtherElectricHeaters+TotalStorageHeaters)/1000000</f>
        <v>0.8084719993</v>
      </c>
      <c r="R50" s="316">
        <f>C$43*(TotalOtherElectricHeaters+TotalStorageHeaters)/1000000</f>
        <v>1.010589999</v>
      </c>
      <c r="S50" s="317">
        <f>D$43*(TotalOtherElectricHeaters+TotalStorageHeaters)/1000000</f>
        <v>1.111648999</v>
      </c>
    </row>
    <row r="51">
      <c r="A51" s="124" t="s">
        <v>313</v>
      </c>
      <c r="B51" s="494">
        <f t="shared" ref="B51:S51" si="13">B49+B50</f>
        <v>0</v>
      </c>
      <c r="C51" s="520">
        <f t="shared" si="13"/>
        <v>395.0470537</v>
      </c>
      <c r="D51" s="520">
        <f t="shared" si="13"/>
        <v>790.0941074</v>
      </c>
      <c r="E51" s="520">
        <f t="shared" si="13"/>
        <v>0</v>
      </c>
      <c r="F51" s="520">
        <f t="shared" si="13"/>
        <v>663.5179999</v>
      </c>
      <c r="G51" s="520">
        <f t="shared" si="13"/>
        <v>1327.036</v>
      </c>
      <c r="H51" s="520">
        <f t="shared" si="13"/>
        <v>0</v>
      </c>
      <c r="I51" s="520">
        <f t="shared" si="13"/>
        <v>222.1367294</v>
      </c>
      <c r="J51" s="520">
        <f t="shared" si="13"/>
        <v>444.2734588</v>
      </c>
      <c r="K51" s="320">
        <f t="shared" si="13"/>
        <v>17.72414935</v>
      </c>
      <c r="L51" s="321">
        <f t="shared" si="13"/>
        <v>22.15518668</v>
      </c>
      <c r="M51" s="321">
        <f t="shared" si="13"/>
        <v>24.37070535</v>
      </c>
      <c r="N51" s="321">
        <f t="shared" si="13"/>
        <v>1.132704085</v>
      </c>
      <c r="O51" s="321">
        <f t="shared" si="13"/>
        <v>1.415880107</v>
      </c>
      <c r="P51" s="321">
        <f t="shared" si="13"/>
        <v>1.557468117</v>
      </c>
      <c r="Q51" s="321">
        <f t="shared" si="13"/>
        <v>1.616943999</v>
      </c>
      <c r="R51" s="321">
        <f t="shared" si="13"/>
        <v>2.021179998</v>
      </c>
      <c r="S51" s="577">
        <f t="shared" si="13"/>
        <v>2.223297998</v>
      </c>
    </row>
    <row r="53" ht="97.5" customHeight="1">
      <c r="A53" s="425" t="s">
        <v>379</v>
      </c>
    </row>
  </sheetData>
  <mergeCells count="7">
    <mergeCell ref="A3:I3"/>
    <mergeCell ref="A4:I4"/>
    <mergeCell ref="A5:I5"/>
    <mergeCell ref="A6:I6"/>
    <mergeCell ref="A7:I7"/>
    <mergeCell ref="K45:S45"/>
    <mergeCell ref="A53:H53"/>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49.33"/>
    <col customWidth="1" min="2" max="2" width="12.0"/>
    <col customWidth="1" min="3" max="3" width="13.44"/>
    <col customWidth="1" min="4" max="5" width="10.44"/>
    <col customWidth="1" min="6" max="6" width="20.33"/>
    <col customWidth="1" min="7" max="10" width="10.44"/>
    <col customWidth="1" min="11" max="11" width="14.44"/>
    <col customWidth="1" min="12" max="19" width="10.44"/>
    <col customWidth="1" min="20" max="20" width="19.44"/>
    <col customWidth="1" min="21" max="26" width="10.44"/>
  </cols>
  <sheetData>
    <row r="1">
      <c r="A1" s="116" t="s">
        <v>389</v>
      </c>
      <c r="B1" s="2"/>
      <c r="C1" s="2"/>
      <c r="D1" s="2"/>
      <c r="E1" s="2"/>
      <c r="F1" s="2"/>
      <c r="G1" s="2"/>
      <c r="H1" s="2"/>
      <c r="I1" s="2"/>
      <c r="J1" s="2"/>
    </row>
    <row r="2">
      <c r="A2" s="116" t="s">
        <v>390</v>
      </c>
      <c r="B2" s="2"/>
      <c r="C2" s="2"/>
      <c r="D2" s="2"/>
      <c r="E2" s="2"/>
      <c r="F2" s="2"/>
      <c r="G2" s="2"/>
      <c r="H2" s="2"/>
      <c r="I2" s="2"/>
      <c r="J2" s="2"/>
    </row>
    <row r="3">
      <c r="A3" s="425" t="s">
        <v>391</v>
      </c>
    </row>
    <row r="4">
      <c r="A4" s="425" t="s">
        <v>392</v>
      </c>
    </row>
    <row r="5">
      <c r="A5" s="425" t="s">
        <v>393</v>
      </c>
    </row>
    <row r="6">
      <c r="A6" s="425" t="s">
        <v>394</v>
      </c>
    </row>
    <row r="7">
      <c r="A7" s="425" t="s">
        <v>395</v>
      </c>
    </row>
    <row r="8">
      <c r="A8" s="425" t="s">
        <v>396</v>
      </c>
    </row>
    <row r="9">
      <c r="A9" s="425"/>
    </row>
    <row r="10">
      <c r="A10" s="634" t="s">
        <v>397</v>
      </c>
    </row>
    <row r="11">
      <c r="A11" s="116" t="s">
        <v>398</v>
      </c>
      <c r="B11" s="14" t="s">
        <v>399</v>
      </c>
      <c r="C11" s="4"/>
      <c r="D11" s="5"/>
      <c r="E11" s="14" t="s">
        <v>400</v>
      </c>
      <c r="F11" s="4"/>
      <c r="G11" s="5"/>
      <c r="H11" s="506" t="s">
        <v>401</v>
      </c>
      <c r="I11" s="4"/>
      <c r="J11" s="5"/>
    </row>
    <row r="12">
      <c r="A12" s="2"/>
      <c r="B12" s="337" t="s">
        <v>5</v>
      </c>
      <c r="C12" s="338" t="s">
        <v>6</v>
      </c>
      <c r="D12" s="339" t="s">
        <v>7</v>
      </c>
      <c r="E12" s="337" t="s">
        <v>5</v>
      </c>
      <c r="F12" s="338" t="s">
        <v>6</v>
      </c>
      <c r="G12" s="339" t="s">
        <v>7</v>
      </c>
      <c r="H12" s="565" t="s">
        <v>5</v>
      </c>
      <c r="I12" s="338" t="s">
        <v>6</v>
      </c>
      <c r="J12" s="339" t="s">
        <v>7</v>
      </c>
    </row>
    <row r="13">
      <c r="A13" s="635" t="s">
        <v>30</v>
      </c>
      <c r="B13" s="636">
        <v>0.0132</v>
      </c>
      <c r="C13" s="637">
        <v>0.0159</v>
      </c>
      <c r="D13" s="638">
        <v>0.0192</v>
      </c>
      <c r="E13" s="636">
        <v>0.009</v>
      </c>
      <c r="F13" s="637">
        <v>0.0115</v>
      </c>
      <c r="G13" s="638">
        <v>0.0151</v>
      </c>
      <c r="H13" s="639">
        <v>0.0098</v>
      </c>
      <c r="I13" s="639">
        <v>0.0126</v>
      </c>
      <c r="J13" s="641">
        <v>0.0166</v>
      </c>
    </row>
    <row r="14">
      <c r="A14" s="635" t="s">
        <v>31</v>
      </c>
      <c r="B14" s="636">
        <v>0.0187</v>
      </c>
      <c r="C14" s="637">
        <v>0.0212</v>
      </c>
      <c r="D14" s="638">
        <v>0.0252</v>
      </c>
      <c r="E14" s="636">
        <v>0.0117</v>
      </c>
      <c r="F14" s="637">
        <v>0.0147</v>
      </c>
      <c r="G14" s="638">
        <v>0.0186</v>
      </c>
      <c r="H14" s="639">
        <v>0.0131</v>
      </c>
      <c r="I14" s="639">
        <v>0.0169</v>
      </c>
      <c r="J14" s="641">
        <v>0.0217</v>
      </c>
    </row>
    <row r="15">
      <c r="A15" s="635" t="s">
        <v>403</v>
      </c>
      <c r="B15" s="646">
        <v>0.001</v>
      </c>
      <c r="C15" s="647">
        <v>0.0017</v>
      </c>
      <c r="D15" s="649">
        <v>0.002</v>
      </c>
      <c r="E15" s="646">
        <v>6.0E-4</v>
      </c>
      <c r="F15" s="647">
        <v>0.001</v>
      </c>
      <c r="G15" s="649">
        <v>0.0011</v>
      </c>
      <c r="H15" s="650">
        <v>7.0E-4</v>
      </c>
      <c r="I15" s="650">
        <v>0.0011</v>
      </c>
      <c r="J15" s="652">
        <v>0.0013</v>
      </c>
      <c r="K15" s="98" t="s">
        <v>408</v>
      </c>
    </row>
    <row r="16">
      <c r="A16" s="635" t="s">
        <v>410</v>
      </c>
      <c r="B16" s="653">
        <v>0.0055</v>
      </c>
      <c r="C16" s="654">
        <v>0.0094</v>
      </c>
      <c r="D16" s="655">
        <v>0.0145</v>
      </c>
      <c r="E16" s="653">
        <v>0.0028</v>
      </c>
      <c r="F16" s="654">
        <v>0.0057</v>
      </c>
      <c r="G16" s="655">
        <v>0.0074</v>
      </c>
      <c r="H16" s="656">
        <v>0.0032</v>
      </c>
      <c r="I16" s="656">
        <v>0.0067</v>
      </c>
      <c r="J16" s="657">
        <v>0.0093</v>
      </c>
    </row>
    <row r="18">
      <c r="A18" s="98" t="s">
        <v>416</v>
      </c>
      <c r="H18" s="658"/>
      <c r="I18" s="658"/>
      <c r="J18" s="658"/>
      <c r="K18" s="658"/>
      <c r="L18" s="658"/>
      <c r="M18" s="658"/>
    </row>
    <row r="19">
      <c r="A19" s="116" t="s">
        <v>417</v>
      </c>
      <c r="B19" s="14" t="s">
        <v>399</v>
      </c>
      <c r="C19" s="508" t="s">
        <v>400</v>
      </c>
      <c r="D19" s="662"/>
      <c r="E19" s="663"/>
      <c r="G19" s="662"/>
    </row>
    <row r="20">
      <c r="A20" s="326" t="s">
        <v>423</v>
      </c>
      <c r="B20" s="646">
        <v>0.014</v>
      </c>
      <c r="C20" s="649">
        <v>0.012</v>
      </c>
    </row>
    <row r="21">
      <c r="A21" s="73" t="s">
        <v>118</v>
      </c>
      <c r="B21" s="331">
        <f>C13</f>
        <v>0.0159</v>
      </c>
      <c r="C21" s="333">
        <f>F13</f>
        <v>0.0115</v>
      </c>
    </row>
    <row r="22">
      <c r="B22" s="666"/>
      <c r="C22" s="666"/>
    </row>
    <row r="23">
      <c r="B23" s="666"/>
      <c r="C23" s="666"/>
    </row>
    <row r="24">
      <c r="B24" s="666"/>
      <c r="C24" s="666"/>
    </row>
    <row r="25">
      <c r="B25" s="666"/>
      <c r="C25" s="666"/>
    </row>
    <row r="26">
      <c r="B26" s="666"/>
      <c r="C26" s="666"/>
    </row>
    <row r="27">
      <c r="B27" s="666"/>
      <c r="C27" s="666"/>
    </row>
    <row r="28">
      <c r="B28" s="666"/>
      <c r="C28" s="666"/>
    </row>
    <row r="29">
      <c r="B29" s="666"/>
      <c r="C29" s="666"/>
    </row>
    <row r="30">
      <c r="A30" s="118"/>
      <c r="B30" s="408"/>
    </row>
    <row r="31">
      <c r="A31" s="116" t="s">
        <v>355</v>
      </c>
      <c r="B31" s="322" t="s">
        <v>5</v>
      </c>
      <c r="C31" s="323" t="s">
        <v>6</v>
      </c>
      <c r="D31" s="324" t="s">
        <v>7</v>
      </c>
    </row>
    <row r="32">
      <c r="A32" s="326" t="s">
        <v>435</v>
      </c>
      <c r="B32" s="327">
        <f t="shared" ref="B32:D32" si="1">H13</f>
        <v>0.0098</v>
      </c>
      <c r="C32" s="328">
        <f t="shared" si="1"/>
        <v>0.0126</v>
      </c>
      <c r="D32" s="329">
        <f t="shared" si="1"/>
        <v>0.0166</v>
      </c>
      <c r="E32" s="118"/>
      <c r="F32" s="245"/>
    </row>
    <row r="33">
      <c r="A33" s="326" t="s">
        <v>439</v>
      </c>
      <c r="B33" s="327">
        <f t="shared" ref="B33:D33" si="2">H14</f>
        <v>0.0131</v>
      </c>
      <c r="C33" s="328">
        <f t="shared" si="2"/>
        <v>0.0169</v>
      </c>
      <c r="D33" s="329">
        <f t="shared" si="2"/>
        <v>0.0217</v>
      </c>
      <c r="E33" s="282" t="s">
        <v>440</v>
      </c>
      <c r="F33" s="245"/>
    </row>
    <row r="34">
      <c r="A34" s="326" t="s">
        <v>441</v>
      </c>
      <c r="B34" s="331">
        <f t="shared" ref="B34:D34" si="3">H16</f>
        <v>0.0032</v>
      </c>
      <c r="C34" s="332">
        <f t="shared" si="3"/>
        <v>0.0067</v>
      </c>
      <c r="D34" s="333">
        <f t="shared" si="3"/>
        <v>0.0093</v>
      </c>
      <c r="E34" s="672"/>
      <c r="F34" s="245"/>
    </row>
    <row r="35">
      <c r="A35" s="199"/>
      <c r="E35" s="118"/>
    </row>
    <row r="36">
      <c r="A36" s="116" t="s">
        <v>174</v>
      </c>
      <c r="B36" s="334" t="s">
        <v>114</v>
      </c>
      <c r="C36" s="4"/>
      <c r="D36" s="5"/>
      <c r="E36" s="334" t="s">
        <v>175</v>
      </c>
      <c r="F36" s="4"/>
      <c r="G36" s="5"/>
      <c r="H36" s="335" t="s">
        <v>177</v>
      </c>
    </row>
    <row r="37">
      <c r="A37" s="116"/>
      <c r="B37" s="337" t="s">
        <v>5</v>
      </c>
      <c r="C37" s="338" t="s">
        <v>6</v>
      </c>
      <c r="D37" s="339" t="s">
        <v>7</v>
      </c>
      <c r="E37" s="337" t="s">
        <v>5</v>
      </c>
      <c r="F37" s="338" t="s">
        <v>6</v>
      </c>
      <c r="G37" s="339" t="s">
        <v>7</v>
      </c>
      <c r="H37" s="340"/>
    </row>
    <row r="38">
      <c r="A38" s="120" t="s">
        <v>435</v>
      </c>
      <c r="B38" s="341">
        <f>B32*MeanDomesticGasBill</f>
        <v>96.78652816</v>
      </c>
      <c r="C38" s="342">
        <f>C32*MeanDomesticGasBill</f>
        <v>124.4398219</v>
      </c>
      <c r="D38" s="343">
        <f>D32*MeanDomesticGasBill</f>
        <v>163.9445273</v>
      </c>
      <c r="E38" s="344">
        <f>ROUND(B38*gasPricePerkWh/100,0)</f>
        <v>8</v>
      </c>
      <c r="F38" s="345">
        <f>ROUND(C38*gasPricePerkWh/100,0)</f>
        <v>10</v>
      </c>
      <c r="G38" s="348">
        <f>ROUND(D38*gasPricePerkWh/100,0)</f>
        <v>13</v>
      </c>
      <c r="H38" s="351">
        <f>propHomesGasHeating</f>
        <v>0.8357316177</v>
      </c>
    </row>
    <row r="39">
      <c r="A39" s="124" t="s">
        <v>451</v>
      </c>
      <c r="B39" s="341">
        <f>B33*MeanDomesticOilBill</f>
        <v>217.302145</v>
      </c>
      <c r="C39" s="342">
        <f>C33*MeanDomesticOilBill</f>
        <v>280.3363549</v>
      </c>
      <c r="D39" s="343">
        <f>D33*MeanDomesticOilBill</f>
        <v>359.9585149</v>
      </c>
      <c r="E39" s="344">
        <f>ROUND(B39*oilPriceP/100,0)</f>
        <v>21</v>
      </c>
      <c r="F39" s="345">
        <f>ROUND(C39*oilPriceP/100,0)</f>
        <v>27</v>
      </c>
      <c r="G39" s="348">
        <f>ROUND(D39*oilPriceP/100,0)</f>
        <v>35</v>
      </c>
      <c r="H39" s="351">
        <f t="array" ref="H39">propHomesOilHeating</f>
        <v>0.05340942457</v>
      </c>
    </row>
    <row r="40">
      <c r="A40" s="120" t="s">
        <v>452</v>
      </c>
      <c r="B40" s="341">
        <f>B34*MeanDomesticElectricHeatingBill</f>
        <v>17.77093835</v>
      </c>
      <c r="C40" s="342">
        <f>C34*MeanDomesticElectricHeatingBill</f>
        <v>37.20790218</v>
      </c>
      <c r="D40" s="343">
        <f>D34*MeanDomesticElectricHeatingBill</f>
        <v>51.64678959</v>
      </c>
      <c r="E40" s="344">
        <f>ROUND(B40*elecPricePerkWh/100,0)</f>
        <v>5</v>
      </c>
      <c r="F40" s="345">
        <f>ROUND(C40*elecPricePerkWh/100,0)</f>
        <v>10</v>
      </c>
      <c r="G40" s="348">
        <f>ROUND(D40*elecPricePerkWh/100,0)</f>
        <v>14</v>
      </c>
      <c r="H40" s="351">
        <f t="array" ref="H40">propHomesOtherElectricHeaters</f>
        <v>0.02938355721</v>
      </c>
    </row>
    <row r="41">
      <c r="A41" s="361" t="s">
        <v>455</v>
      </c>
      <c r="B41" s="362"/>
      <c r="C41" s="363"/>
      <c r="D41" s="365"/>
      <c r="E41" s="368">
        <f t="shared" ref="E41:G41" si="4">SUMPRODUCT(E38:E40,$H38:$H40)/SUM($H38:$H40)</f>
        <v>8.659940788</v>
      </c>
      <c r="F41" s="369">
        <f t="shared" si="4"/>
        <v>10.98849853</v>
      </c>
      <c r="G41" s="370">
        <f t="shared" si="4"/>
        <v>14.31122334</v>
      </c>
      <c r="H41" s="372"/>
    </row>
    <row r="42">
      <c r="A42" s="118"/>
      <c r="B42" s="407"/>
      <c r="C42" s="408"/>
      <c r="D42" s="408"/>
      <c r="E42" s="118"/>
    </row>
    <row r="43">
      <c r="A43" s="118"/>
      <c r="B43" s="407"/>
    </row>
    <row r="44">
      <c r="A44" s="116" t="s">
        <v>457</v>
      </c>
      <c r="B44" s="322" t="s">
        <v>5</v>
      </c>
      <c r="C44" s="323" t="s">
        <v>6</v>
      </c>
      <c r="D44" s="324" t="s">
        <v>7</v>
      </c>
    </row>
    <row r="45">
      <c r="A45" s="326" t="s">
        <v>458</v>
      </c>
      <c r="B45" s="685">
        <v>0.1</v>
      </c>
      <c r="C45" s="155">
        <v>0.2</v>
      </c>
      <c r="D45" s="686">
        <v>0.3</v>
      </c>
      <c r="E45" s="98" t="s">
        <v>233</v>
      </c>
    </row>
    <row r="46">
      <c r="A46" s="326" t="s">
        <v>459</v>
      </c>
      <c r="B46" s="327">
        <f t="shared" ref="B46:D46" si="5">B$45*$H38</f>
        <v>0.08357316177</v>
      </c>
      <c r="C46" s="328">
        <f t="shared" si="5"/>
        <v>0.1671463235</v>
      </c>
      <c r="D46" s="329">
        <f t="shared" si="5"/>
        <v>0.2507194853</v>
      </c>
      <c r="E46" s="500"/>
      <c r="G46" s="687">
        <f>C46*numberDwellingsUK/1000</f>
        <v>5123.33568</v>
      </c>
    </row>
    <row r="47">
      <c r="A47" s="326" t="s">
        <v>460</v>
      </c>
      <c r="B47" s="327">
        <f t="shared" ref="B47:D47" si="6">B$45*$H39</f>
        <v>0.005340942457</v>
      </c>
      <c r="C47" s="328">
        <f t="shared" si="6"/>
        <v>0.01068188491</v>
      </c>
      <c r="D47" s="329">
        <f t="shared" si="6"/>
        <v>0.01602282737</v>
      </c>
      <c r="E47" s="500"/>
      <c r="G47" s="687">
        <f>C47*numberDwellingsUK/1000</f>
        <v>327.419</v>
      </c>
    </row>
    <row r="48">
      <c r="A48" s="326" t="s">
        <v>461</v>
      </c>
      <c r="B48" s="327">
        <f t="shared" ref="B48:D48" si="7">B$45*$H40</f>
        <v>0.002938355721</v>
      </c>
      <c r="C48" s="328">
        <f t="shared" si="7"/>
        <v>0.005876711442</v>
      </c>
      <c r="D48" s="329">
        <f t="shared" si="7"/>
        <v>0.008815067163</v>
      </c>
      <c r="E48" s="500"/>
      <c r="G48" s="687">
        <f>C48*numberDwellingsUK/1000</f>
        <v>180.1317838</v>
      </c>
    </row>
    <row r="49">
      <c r="A49" s="586" t="s">
        <v>351</v>
      </c>
      <c r="B49" s="688">
        <f t="shared" ref="B49:D49" si="8">SUM(B46:B48)</f>
        <v>0.09185245995</v>
      </c>
      <c r="C49" s="689">
        <f t="shared" si="8"/>
        <v>0.1837049199</v>
      </c>
      <c r="D49" s="690">
        <f t="shared" si="8"/>
        <v>0.2755573798</v>
      </c>
    </row>
    <row r="51">
      <c r="A51" s="116" t="s">
        <v>462</v>
      </c>
      <c r="B51" s="322" t="s">
        <v>5</v>
      </c>
      <c r="C51" s="323" t="s">
        <v>6</v>
      </c>
      <c r="D51" s="324" t="s">
        <v>7</v>
      </c>
    </row>
    <row r="52">
      <c r="A52" s="326" t="s">
        <v>463</v>
      </c>
      <c r="B52" s="113">
        <f>ROUND(TotalDomesticGasKwh*B32*B$45*carbonGasPerkWh/1000000,0)</f>
        <v>45</v>
      </c>
      <c r="C52" s="115">
        <f>ROUND(TotalDomesticGasKwh*C32*C$45*carbonGasPerkWh/1000000,0)</f>
        <v>117</v>
      </c>
      <c r="D52" s="117">
        <f>ROUND(TotalDomesticGasKwh*D32*D$45*carbonGasPerkWh/1000000,0)</f>
        <v>231</v>
      </c>
      <c r="E52" s="98" t="s">
        <v>464</v>
      </c>
    </row>
    <row r="53">
      <c r="A53" s="73" t="s">
        <v>465</v>
      </c>
      <c r="B53" s="113">
        <f>ROUND(TotalDomesticOilkWh*B33*B45*carbonOilPerkWh/1000000,0)</f>
        <v>10</v>
      </c>
      <c r="C53" s="115">
        <f>ROUND(TotalDomesticOilkWh*C33*C45*carbonOilPerkWh/1000000,0)</f>
        <v>25</v>
      </c>
      <c r="D53" s="117">
        <f>ROUND(TotalDomesticOilkWh*D33*D45*carbonOilPerkWh/1000000,0)</f>
        <v>48</v>
      </c>
      <c r="E53" s="98" t="s">
        <v>464</v>
      </c>
    </row>
    <row r="54">
      <c r="A54" s="73" t="s">
        <v>467</v>
      </c>
      <c r="B54" s="113">
        <f>ROUND(TotalOtherElectrickWh*B34*B$45*carbonElectricitryPerkWh/1000000,0)</f>
        <v>0</v>
      </c>
      <c r="C54" s="115">
        <f>ROUND(TotalOtherElectrickWh*C34*C$45*carbonElectricitryPerkWh/1000000,0)</f>
        <v>1</v>
      </c>
      <c r="D54" s="117">
        <f>ROUND(TotalOtherElectrickWh*D34*D$45*carbonElectricitryPerkWh/1000000,0)</f>
        <v>2</v>
      </c>
      <c r="E54" s="98" t="s">
        <v>464</v>
      </c>
    </row>
    <row r="55">
      <c r="A55" s="667" t="s">
        <v>351</v>
      </c>
      <c r="B55" s="368">
        <f t="shared" ref="B55:D55" si="9">SUM(B52:B54)</f>
        <v>55</v>
      </c>
      <c r="C55" s="369">
        <f t="shared" si="9"/>
        <v>143</v>
      </c>
      <c r="D55" s="370">
        <f t="shared" si="9"/>
        <v>281</v>
      </c>
      <c r="E55" s="98" t="s">
        <v>464</v>
      </c>
    </row>
    <row r="57">
      <c r="A57" s="697" t="s">
        <v>16</v>
      </c>
      <c r="B57" s="465" t="s">
        <v>21</v>
      </c>
      <c r="C57" s="9"/>
      <c r="D57" s="10"/>
      <c r="E57" s="465" t="s">
        <v>18</v>
      </c>
      <c r="F57" s="9"/>
      <c r="G57" s="10"/>
      <c r="H57" s="698" t="s">
        <v>475</v>
      </c>
      <c r="I57" s="9"/>
      <c r="J57" s="10"/>
      <c r="K57" s="699" t="s">
        <v>27</v>
      </c>
    </row>
    <row r="58">
      <c r="A58" s="73"/>
      <c r="B58" s="700" t="s">
        <v>5</v>
      </c>
      <c r="C58" s="701" t="s">
        <v>6</v>
      </c>
      <c r="D58" s="702" t="s">
        <v>7</v>
      </c>
      <c r="E58" s="700" t="s">
        <v>5</v>
      </c>
      <c r="F58" s="701" t="s">
        <v>6</v>
      </c>
      <c r="G58" s="702" t="s">
        <v>7</v>
      </c>
      <c r="H58" s="700" t="s">
        <v>5</v>
      </c>
      <c r="I58" s="701" t="s">
        <v>6</v>
      </c>
      <c r="J58" s="702" t="s">
        <v>7</v>
      </c>
      <c r="K58" s="379"/>
    </row>
    <row r="59">
      <c r="A59" s="703" t="s">
        <v>476</v>
      </c>
      <c r="B59" s="704">
        <f t="shared" ref="B59:D59" si="10">E41</f>
        <v>8.659940788</v>
      </c>
      <c r="C59" s="705">
        <f t="shared" si="10"/>
        <v>10.98849853</v>
      </c>
      <c r="D59" s="706">
        <f t="shared" si="10"/>
        <v>14.31122334</v>
      </c>
      <c r="E59" s="707">
        <f t="shared" ref="E59:G59" si="11">B49</f>
        <v>0.09185245995</v>
      </c>
      <c r="F59" s="708">
        <f t="shared" si="11"/>
        <v>0.1837049199</v>
      </c>
      <c r="G59" s="709">
        <f t="shared" si="11"/>
        <v>0.2755573798</v>
      </c>
      <c r="H59" s="704">
        <f t="shared" ref="H59:J59" si="12">B55</f>
        <v>55</v>
      </c>
      <c r="I59" s="705">
        <f t="shared" si="12"/>
        <v>143</v>
      </c>
      <c r="J59" s="706">
        <f t="shared" si="12"/>
        <v>281</v>
      </c>
      <c r="K59" s="710" t="s">
        <v>262</v>
      </c>
    </row>
    <row r="62" ht="17.25" customHeight="1">
      <c r="A62" s="116" t="s">
        <v>16</v>
      </c>
      <c r="B62" s="465" t="s">
        <v>11</v>
      </c>
      <c r="C62" s="9"/>
      <c r="D62" s="9"/>
      <c r="E62" s="9"/>
      <c r="F62" s="9"/>
      <c r="G62" s="9"/>
      <c r="H62" s="9"/>
      <c r="I62" s="9"/>
      <c r="J62" s="10"/>
      <c r="K62" s="465" t="s">
        <v>256</v>
      </c>
      <c r="L62" s="9"/>
      <c r="M62" s="9"/>
      <c r="N62" s="9"/>
      <c r="O62" s="9"/>
      <c r="P62" s="9"/>
      <c r="Q62" s="9"/>
      <c r="R62" s="9"/>
      <c r="S62" s="10"/>
      <c r="T62" s="467" t="s">
        <v>257</v>
      </c>
    </row>
    <row r="63">
      <c r="A63" s="326"/>
      <c r="B63" s="468" t="s">
        <v>30</v>
      </c>
      <c r="C63" s="469"/>
      <c r="D63" s="470"/>
      <c r="E63" s="468" t="s">
        <v>31</v>
      </c>
      <c r="F63" s="469"/>
      <c r="G63" s="470"/>
      <c r="H63" s="60" t="s">
        <v>32</v>
      </c>
      <c r="I63" s="57"/>
      <c r="J63" s="57"/>
      <c r="K63" s="468" t="s">
        <v>30</v>
      </c>
      <c r="L63" s="469"/>
      <c r="M63" s="470"/>
      <c r="N63" s="468" t="s">
        <v>31</v>
      </c>
      <c r="O63" s="469"/>
      <c r="P63" s="470"/>
      <c r="Q63" s="60" t="s">
        <v>32</v>
      </c>
      <c r="R63" s="57"/>
      <c r="S63" s="58"/>
      <c r="T63" s="474"/>
    </row>
    <row r="64">
      <c r="A64" s="326"/>
      <c r="B64" s="74" t="s">
        <v>5</v>
      </c>
      <c r="C64" s="69" t="s">
        <v>6</v>
      </c>
      <c r="D64" s="70" t="s">
        <v>7</v>
      </c>
      <c r="E64" s="74" t="s">
        <v>5</v>
      </c>
      <c r="F64" s="69" t="s">
        <v>6</v>
      </c>
      <c r="G64" s="70" t="s">
        <v>7</v>
      </c>
      <c r="H64" s="74" t="s">
        <v>5</v>
      </c>
      <c r="I64" s="69" t="s">
        <v>6</v>
      </c>
      <c r="J64" s="69" t="s">
        <v>7</v>
      </c>
      <c r="K64" s="74" t="s">
        <v>5</v>
      </c>
      <c r="L64" s="69" t="s">
        <v>6</v>
      </c>
      <c r="M64" s="70" t="s">
        <v>7</v>
      </c>
      <c r="N64" s="74" t="s">
        <v>5</v>
      </c>
      <c r="O64" s="69" t="s">
        <v>6</v>
      </c>
      <c r="P64" s="70" t="s">
        <v>7</v>
      </c>
      <c r="Q64" s="74" t="s">
        <v>5</v>
      </c>
      <c r="R64" s="69" t="s">
        <v>6</v>
      </c>
      <c r="S64" s="70" t="s">
        <v>7</v>
      </c>
      <c r="T64" s="474"/>
    </row>
    <row r="65">
      <c r="A65" s="703" t="s">
        <v>476</v>
      </c>
      <c r="B65" s="711">
        <f t="shared" ref="B65:D65" si="13">B38</f>
        <v>96.78652816</v>
      </c>
      <c r="C65" s="712">
        <f t="shared" si="13"/>
        <v>124.4398219</v>
      </c>
      <c r="D65" s="713">
        <f t="shared" si="13"/>
        <v>163.9445273</v>
      </c>
      <c r="E65" s="711">
        <f t="shared" ref="E65:G65" si="14">B39</f>
        <v>217.302145</v>
      </c>
      <c r="F65" s="712">
        <f t="shared" si="14"/>
        <v>280.3363549</v>
      </c>
      <c r="G65" s="713">
        <f t="shared" si="14"/>
        <v>359.9585149</v>
      </c>
      <c r="H65" s="711">
        <f t="shared" ref="H65:J65" si="15">B40</f>
        <v>17.77093835</v>
      </c>
      <c r="I65" s="712">
        <f t="shared" si="15"/>
        <v>37.20790218</v>
      </c>
      <c r="J65" s="712">
        <f t="shared" si="15"/>
        <v>51.64678959</v>
      </c>
      <c r="K65" s="403">
        <f>B46*numberDwellingsUK/1000</f>
        <v>2561.66784</v>
      </c>
      <c r="L65" s="405">
        <f>C46*numberDwellingsUK/1000</f>
        <v>5123.33568</v>
      </c>
      <c r="M65" s="572">
        <f>D46*numberDwellingsUK/1000</f>
        <v>7685.00352</v>
      </c>
      <c r="N65" s="403">
        <f>B47*numberDwellingsUK/1000</f>
        <v>163.7095</v>
      </c>
      <c r="O65" s="405">
        <f>C47*numberDwellingsUK/1000</f>
        <v>327.419</v>
      </c>
      <c r="P65" s="572">
        <f>D47*numberDwellingsUK/1000</f>
        <v>491.1285</v>
      </c>
      <c r="Q65" s="403">
        <f>B48*numberDwellingsUK/1000</f>
        <v>90.06589189</v>
      </c>
      <c r="R65" s="405">
        <f>C48*numberDwellingsUK/1000</f>
        <v>180.1317838</v>
      </c>
      <c r="S65" s="572">
        <f>D48*numberDwellingsUK/1000</f>
        <v>270.1976757</v>
      </c>
      <c r="T65" s="710" t="s">
        <v>262</v>
      </c>
    </row>
  </sheetData>
  <mergeCells count="6">
    <mergeCell ref="H36:H37"/>
    <mergeCell ref="B57:D57"/>
    <mergeCell ref="E57:G57"/>
    <mergeCell ref="H57:J57"/>
    <mergeCell ref="B62:J62"/>
    <mergeCell ref="K62:S6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9.44"/>
    <col customWidth="1" min="2" max="4" width="10.44"/>
    <col customWidth="1" min="5" max="5" width="24.44"/>
    <col customWidth="1" min="6" max="7" width="10.78"/>
    <col customWidth="1" min="8" max="10" width="10.44"/>
    <col customWidth="1" min="11" max="11" width="13.44"/>
    <col customWidth="1" min="12" max="19" width="10.44"/>
    <col customWidth="1" min="20" max="20" width="19.44"/>
    <col customWidth="1" min="21" max="26" width="10.44"/>
  </cols>
  <sheetData>
    <row r="1">
      <c r="A1" s="640" t="s">
        <v>402</v>
      </c>
      <c r="B1" s="642"/>
      <c r="C1" s="642"/>
      <c r="D1" s="642"/>
      <c r="E1" s="643"/>
      <c r="F1" s="644"/>
      <c r="G1" s="645"/>
    </row>
    <row r="2">
      <c r="A2" s="648" t="s">
        <v>404</v>
      </c>
      <c r="B2" s="643"/>
      <c r="C2" s="643"/>
      <c r="D2" s="643"/>
      <c r="E2" s="643"/>
      <c r="F2" s="644"/>
      <c r="G2" s="645"/>
    </row>
    <row r="3">
      <c r="A3" s="237" t="s">
        <v>405</v>
      </c>
      <c r="B3" s="651"/>
      <c r="C3" s="651"/>
      <c r="D3" s="651"/>
      <c r="E3" s="651"/>
      <c r="F3" s="645"/>
      <c r="G3" s="645"/>
    </row>
    <row r="4">
      <c r="A4" s="237" t="s">
        <v>406</v>
      </c>
      <c r="B4" s="651"/>
      <c r="C4" s="651"/>
      <c r="D4" s="651" t="s">
        <v>407</v>
      </c>
      <c r="E4" s="651"/>
      <c r="F4" s="645"/>
      <c r="G4" s="645"/>
    </row>
    <row r="5">
      <c r="A5" s="237" t="s">
        <v>409</v>
      </c>
      <c r="B5" s="651"/>
      <c r="C5" s="651"/>
      <c r="D5" s="651"/>
      <c r="E5" s="651"/>
      <c r="F5" s="645"/>
      <c r="G5" s="645"/>
    </row>
    <row r="6">
      <c r="A6" s="237" t="s">
        <v>411</v>
      </c>
      <c r="B6" s="651"/>
      <c r="C6" s="651"/>
      <c r="D6" s="651"/>
      <c r="E6" s="651"/>
      <c r="F6" s="645"/>
      <c r="G6" s="645"/>
    </row>
    <row r="7">
      <c r="A7" s="237" t="s">
        <v>412</v>
      </c>
      <c r="B7" s="651"/>
      <c r="C7" s="651"/>
      <c r="D7" s="651"/>
      <c r="E7" s="651"/>
      <c r="F7" s="645"/>
      <c r="G7" s="645"/>
    </row>
    <row r="8" ht="64.5" customHeight="1">
      <c r="A8" s="651" t="s">
        <v>413</v>
      </c>
      <c r="B8" s="651"/>
      <c r="C8" s="651"/>
      <c r="D8" s="651"/>
      <c r="E8" s="651"/>
      <c r="F8" s="645"/>
      <c r="G8" s="645"/>
    </row>
    <row r="9" ht="109.5" customHeight="1">
      <c r="A9" s="651" t="s">
        <v>414</v>
      </c>
      <c r="B9" s="651"/>
      <c r="C9" s="651"/>
      <c r="D9" s="651"/>
      <c r="E9" s="651"/>
      <c r="F9" s="645"/>
      <c r="G9" s="645"/>
    </row>
    <row r="10">
      <c r="A10" s="651" t="s">
        <v>415</v>
      </c>
      <c r="B10" s="651"/>
      <c r="C10" s="651"/>
      <c r="D10" s="651"/>
      <c r="E10" s="651"/>
      <c r="F10" s="645"/>
      <c r="G10" s="645"/>
    </row>
    <row r="11">
      <c r="A11" s="651"/>
      <c r="B11" s="651"/>
      <c r="C11" s="651"/>
      <c r="D11" s="651"/>
      <c r="E11" s="651"/>
      <c r="F11" s="645"/>
      <c r="G11" s="645"/>
    </row>
    <row r="12">
      <c r="A12" s="643"/>
      <c r="B12" s="659" t="s">
        <v>5</v>
      </c>
      <c r="C12" s="659" t="s">
        <v>6</v>
      </c>
      <c r="D12" s="659" t="s">
        <v>7</v>
      </c>
      <c r="E12" s="651"/>
      <c r="F12" s="645"/>
      <c r="G12" s="645"/>
    </row>
    <row r="13">
      <c r="A13" s="660" t="s">
        <v>418</v>
      </c>
      <c r="B13" s="661">
        <v>50.0</v>
      </c>
      <c r="C13" s="661">
        <v>300.0</v>
      </c>
      <c r="D13" s="661">
        <v>600.0</v>
      </c>
      <c r="E13" s="651" t="s">
        <v>419</v>
      </c>
      <c r="F13" s="645" t="s">
        <v>420</v>
      </c>
      <c r="G13" s="645" t="s">
        <v>421</v>
      </c>
    </row>
    <row r="14">
      <c r="A14" s="660" t="s">
        <v>422</v>
      </c>
      <c r="B14" s="664">
        <v>0.7</v>
      </c>
      <c r="C14" s="664">
        <v>0.5</v>
      </c>
      <c r="D14" s="664">
        <v>0.3</v>
      </c>
      <c r="E14" s="651"/>
      <c r="F14" s="645" t="s">
        <v>424</v>
      </c>
      <c r="G14" s="645"/>
    </row>
    <row r="15">
      <c r="A15" s="660" t="s">
        <v>425</v>
      </c>
      <c r="B15" s="664">
        <v>0.85</v>
      </c>
      <c r="C15" s="664">
        <v>0.8</v>
      </c>
      <c r="D15" s="664">
        <v>0.75</v>
      </c>
      <c r="E15" s="651"/>
      <c r="F15" s="645" t="s">
        <v>426</v>
      </c>
      <c r="G15" s="645"/>
    </row>
    <row r="16">
      <c r="A16" s="660" t="s">
        <v>427</v>
      </c>
      <c r="B16" s="665">
        <f t="shared" ref="B16:D16" si="1">B13/B15</f>
        <v>58.82352941</v>
      </c>
      <c r="C16" s="665">
        <f t="shared" si="1"/>
        <v>375</v>
      </c>
      <c r="D16" s="665">
        <f t="shared" si="1"/>
        <v>800</v>
      </c>
      <c r="E16" s="651" t="s">
        <v>428</v>
      </c>
      <c r="F16" s="645"/>
      <c r="G16" s="645"/>
    </row>
    <row r="17">
      <c r="A17" s="660" t="s">
        <v>429</v>
      </c>
      <c r="B17" s="665">
        <f t="shared" ref="B17:D17" si="2">B16*B14</f>
        <v>41.17647059</v>
      </c>
      <c r="C17" s="665">
        <f t="shared" si="2"/>
        <v>187.5</v>
      </c>
      <c r="D17" s="665">
        <f t="shared" si="2"/>
        <v>240</v>
      </c>
      <c r="E17" s="651" t="s">
        <v>428</v>
      </c>
      <c r="F17" s="645"/>
      <c r="G17" s="645"/>
    </row>
    <row r="18">
      <c r="A18" s="660" t="s">
        <v>430</v>
      </c>
      <c r="B18" s="664">
        <v>0.9</v>
      </c>
      <c r="C18" s="664">
        <v>0.8</v>
      </c>
      <c r="D18" s="664">
        <v>0.5</v>
      </c>
      <c r="E18" s="651"/>
      <c r="F18" s="645" t="s">
        <v>233</v>
      </c>
      <c r="G18" s="645"/>
    </row>
    <row r="19">
      <c r="A19" s="660" t="s">
        <v>431</v>
      </c>
      <c r="B19" s="664">
        <v>0.8</v>
      </c>
      <c r="C19" s="664">
        <v>0.85</v>
      </c>
      <c r="D19" s="664">
        <v>0.9</v>
      </c>
      <c r="E19" s="651"/>
      <c r="F19" s="645" t="s">
        <v>426</v>
      </c>
      <c r="G19" s="645"/>
    </row>
    <row r="20">
      <c r="A20" s="660" t="s">
        <v>432</v>
      </c>
      <c r="B20" s="668">
        <f t="shared" ref="B20:D20" si="3">B13*B18/B19</f>
        <v>56.25</v>
      </c>
      <c r="C20" s="668">
        <f t="shared" si="3"/>
        <v>282.3529412</v>
      </c>
      <c r="D20" s="668">
        <f t="shared" si="3"/>
        <v>333.3333333</v>
      </c>
      <c r="E20" s="651" t="s">
        <v>428</v>
      </c>
      <c r="F20" s="645"/>
      <c r="G20" s="645"/>
    </row>
    <row r="21">
      <c r="A21" s="660" t="s">
        <v>434</v>
      </c>
      <c r="B21" s="668">
        <f t="shared" ref="B21:D21" si="4">B13*B14*B18/B19</f>
        <v>39.375</v>
      </c>
      <c r="C21" s="668">
        <f t="shared" si="4"/>
        <v>141.1764706</v>
      </c>
      <c r="D21" s="668">
        <f t="shared" si="4"/>
        <v>100</v>
      </c>
      <c r="E21" s="651" t="s">
        <v>428</v>
      </c>
      <c r="F21" s="645"/>
      <c r="G21" s="645"/>
    </row>
    <row r="22">
      <c r="A22" s="660" t="s">
        <v>436</v>
      </c>
      <c r="B22" s="668">
        <f t="shared" ref="B22:D22" si="5">B16-B20</f>
        <v>2.573529412</v>
      </c>
      <c r="C22" s="668">
        <f t="shared" si="5"/>
        <v>92.64705882</v>
      </c>
      <c r="D22" s="668">
        <f t="shared" si="5"/>
        <v>466.6666667</v>
      </c>
      <c r="E22" s="651" t="s">
        <v>428</v>
      </c>
      <c r="F22" s="645"/>
      <c r="G22" s="645"/>
    </row>
    <row r="23">
      <c r="A23" s="660" t="s">
        <v>438</v>
      </c>
      <c r="B23" s="668">
        <f t="shared" ref="B23:D23" si="6">B17-B21</f>
        <v>1.801470588</v>
      </c>
      <c r="C23" s="668">
        <f t="shared" si="6"/>
        <v>46.32352941</v>
      </c>
      <c r="D23" s="668">
        <f t="shared" si="6"/>
        <v>140</v>
      </c>
      <c r="E23" s="651" t="s">
        <v>428</v>
      </c>
      <c r="F23" s="645"/>
      <c r="G23" s="645"/>
    </row>
    <row r="24">
      <c r="A24" s="651"/>
      <c r="B24" s="651"/>
      <c r="C24" s="651"/>
      <c r="D24" s="651"/>
      <c r="E24" s="651"/>
      <c r="F24" s="645"/>
      <c r="G24" s="645"/>
    </row>
    <row r="25">
      <c r="A25" s="671" t="s">
        <v>442</v>
      </c>
      <c r="B25" s="659" t="s">
        <v>5</v>
      </c>
      <c r="C25" s="659" t="s">
        <v>6</v>
      </c>
      <c r="D25" s="659" t="s">
        <v>7</v>
      </c>
      <c r="E25" s="651"/>
      <c r="F25" s="645"/>
      <c r="G25" s="645"/>
    </row>
    <row r="26">
      <c r="A26" s="660" t="s">
        <v>443</v>
      </c>
      <c r="B26" s="673">
        <f>B22*gasPricePerkWh/100</f>
        <v>0.2051102941</v>
      </c>
      <c r="C26" s="673">
        <f>C22*gasPricePerkWh/100</f>
        <v>7.383970588</v>
      </c>
      <c r="D26" s="673">
        <f>D22*gasPricePerkWh/100</f>
        <v>37.19333333</v>
      </c>
      <c r="E26" s="651" t="s">
        <v>175</v>
      </c>
      <c r="F26" s="645"/>
      <c r="G26" s="645"/>
    </row>
    <row r="27">
      <c r="A27" s="660" t="s">
        <v>444</v>
      </c>
      <c r="B27" s="673">
        <f>B23*gasPricePerkWh/100</f>
        <v>0.1435772059</v>
      </c>
      <c r="C27" s="673">
        <f>C23*gasPricePerkWh/100</f>
        <v>3.691985294</v>
      </c>
      <c r="D27" s="673">
        <f>D23*gasPricePerkWh/100</f>
        <v>11.158</v>
      </c>
      <c r="E27" s="651" t="s">
        <v>175</v>
      </c>
      <c r="F27" s="645"/>
      <c r="G27" s="645"/>
    </row>
    <row r="28">
      <c r="A28" s="651"/>
      <c r="C28" s="651"/>
      <c r="D28" s="651"/>
      <c r="E28" s="651"/>
      <c r="F28" s="645"/>
      <c r="G28" s="645"/>
    </row>
    <row r="29">
      <c r="A29" s="671" t="s">
        <v>215</v>
      </c>
      <c r="B29" s="659" t="s">
        <v>5</v>
      </c>
      <c r="C29" s="659" t="s">
        <v>6</v>
      </c>
      <c r="D29" s="659" t="s">
        <v>7</v>
      </c>
      <c r="E29" s="651"/>
      <c r="F29" s="645"/>
      <c r="G29" s="645"/>
    </row>
    <row r="30">
      <c r="A30" s="660" t="s">
        <v>445</v>
      </c>
      <c r="B30" s="674">
        <f>C30*0.95</f>
        <v>0.539882625</v>
      </c>
      <c r="C30" s="674">
        <f>propHomesGasHeating*(1-propGasRegular)</f>
        <v>0.5682975</v>
      </c>
      <c r="D30" s="674">
        <f>C30*1.05</f>
        <v>0.5967123751</v>
      </c>
      <c r="E30" s="645"/>
      <c r="G30" s="645"/>
    </row>
    <row r="31">
      <c r="A31" s="660" t="s">
        <v>446</v>
      </c>
      <c r="B31" s="676">
        <v>0.2</v>
      </c>
      <c r="C31" s="676">
        <v>0.4</v>
      </c>
      <c r="D31" s="676">
        <v>0.6</v>
      </c>
      <c r="E31" s="634" t="s">
        <v>447</v>
      </c>
      <c r="G31" s="645"/>
    </row>
    <row r="32">
      <c r="A32" s="660" t="s">
        <v>448</v>
      </c>
      <c r="B32" s="676">
        <v>0.05</v>
      </c>
      <c r="C32" s="676">
        <v>0.1</v>
      </c>
      <c r="D32" s="676">
        <v>0.2</v>
      </c>
      <c r="E32" s="645" t="s">
        <v>233</v>
      </c>
      <c r="G32" s="645"/>
    </row>
    <row r="33">
      <c r="A33" s="660" t="s">
        <v>449</v>
      </c>
      <c r="B33" s="674">
        <f t="shared" ref="B33:D33" si="7">B30*B31</f>
        <v>0.107976525</v>
      </c>
      <c r="C33" s="674">
        <f t="shared" si="7"/>
        <v>0.227319</v>
      </c>
      <c r="D33" s="674">
        <f t="shared" si="7"/>
        <v>0.358027425</v>
      </c>
      <c r="E33" s="645"/>
      <c r="G33" s="645"/>
    </row>
    <row r="34">
      <c r="A34" s="660" t="s">
        <v>450</v>
      </c>
      <c r="B34" s="674">
        <f t="shared" ref="B34:D34" si="8">B33*B32</f>
        <v>0.00539882625</v>
      </c>
      <c r="C34" s="674">
        <f t="shared" si="8"/>
        <v>0.0227319</v>
      </c>
      <c r="D34" s="674">
        <f t="shared" si="8"/>
        <v>0.07160548501</v>
      </c>
      <c r="E34" s="645"/>
      <c r="G34" s="645"/>
    </row>
    <row r="35">
      <c r="A35" s="651"/>
      <c r="B35" s="651"/>
      <c r="C35" s="651"/>
      <c r="D35" s="651"/>
      <c r="E35" s="651"/>
      <c r="F35" s="645"/>
      <c r="G35" s="645"/>
    </row>
    <row r="37">
      <c r="A37" s="116" t="s">
        <v>16</v>
      </c>
      <c r="B37" s="465" t="s">
        <v>11</v>
      </c>
      <c r="C37" s="9"/>
      <c r="D37" s="9"/>
      <c r="E37" s="9"/>
      <c r="F37" s="9"/>
      <c r="G37" s="9"/>
      <c r="H37" s="9"/>
      <c r="I37" s="9"/>
      <c r="J37" s="10"/>
      <c r="K37" s="465" t="s">
        <v>256</v>
      </c>
      <c r="L37" s="9"/>
      <c r="M37" s="9"/>
      <c r="N37" s="9"/>
      <c r="O37" s="9"/>
      <c r="P37" s="9"/>
      <c r="Q37" s="9"/>
      <c r="R37" s="9"/>
      <c r="S37" s="677"/>
      <c r="T37" s="678" t="s">
        <v>257</v>
      </c>
      <c r="U37" s="26"/>
      <c r="V37" s="26"/>
      <c r="W37" s="26"/>
      <c r="X37" s="26"/>
      <c r="Y37" s="26"/>
      <c r="Z37" s="26"/>
    </row>
    <row r="38">
      <c r="A38" s="326"/>
      <c r="B38" s="468" t="s">
        <v>30</v>
      </c>
      <c r="C38" s="469"/>
      <c r="D38" s="470"/>
      <c r="E38" s="468" t="s">
        <v>31</v>
      </c>
      <c r="F38" s="469"/>
      <c r="G38" s="470"/>
      <c r="H38" s="60" t="s">
        <v>32</v>
      </c>
      <c r="I38" s="57"/>
      <c r="J38" s="58"/>
      <c r="K38" s="468" t="s">
        <v>30</v>
      </c>
      <c r="L38" s="469"/>
      <c r="M38" s="470"/>
      <c r="N38" s="468" t="s">
        <v>31</v>
      </c>
      <c r="O38" s="469"/>
      <c r="P38" s="470"/>
      <c r="Q38" s="60" t="s">
        <v>32</v>
      </c>
      <c r="R38" s="57"/>
      <c r="S38" s="58"/>
      <c r="T38" s="474"/>
    </row>
    <row r="39">
      <c r="A39" s="473"/>
      <c r="B39" s="74" t="s">
        <v>5</v>
      </c>
      <c r="C39" s="69" t="s">
        <v>6</v>
      </c>
      <c r="D39" s="70" t="s">
        <v>7</v>
      </c>
      <c r="E39" s="74" t="s">
        <v>5</v>
      </c>
      <c r="F39" s="69" t="s">
        <v>6</v>
      </c>
      <c r="G39" s="70" t="s">
        <v>7</v>
      </c>
      <c r="H39" s="74" t="s">
        <v>5</v>
      </c>
      <c r="I39" s="69" t="s">
        <v>6</v>
      </c>
      <c r="J39" s="70" t="s">
        <v>7</v>
      </c>
      <c r="K39" s="74" t="s">
        <v>5</v>
      </c>
      <c r="L39" s="69" t="s">
        <v>6</v>
      </c>
      <c r="M39" s="70" t="s">
        <v>7</v>
      </c>
      <c r="N39" s="74" t="s">
        <v>5</v>
      </c>
      <c r="O39" s="69" t="s">
        <v>6</v>
      </c>
      <c r="P39" s="70" t="s">
        <v>7</v>
      </c>
      <c r="Q39" s="74" t="s">
        <v>5</v>
      </c>
      <c r="R39" s="69" t="s">
        <v>6</v>
      </c>
      <c r="S39" s="70" t="s">
        <v>7</v>
      </c>
      <c r="T39" s="679"/>
    </row>
    <row r="40">
      <c r="A40" s="680" t="s">
        <v>66</v>
      </c>
      <c r="B40" s="443">
        <f t="shared" ref="B40:D40" si="9">B22</f>
        <v>2.573529412</v>
      </c>
      <c r="C40" s="441">
        <f t="shared" si="9"/>
        <v>92.64705882</v>
      </c>
      <c r="D40" s="442">
        <f t="shared" si="9"/>
        <v>466.6666667</v>
      </c>
      <c r="E40" s="152">
        <v>0.0</v>
      </c>
      <c r="F40" s="27">
        <v>0.0</v>
      </c>
      <c r="G40" s="170">
        <v>0.0</v>
      </c>
      <c r="H40" s="152">
        <v>0.0</v>
      </c>
      <c r="I40" s="27">
        <v>0.0</v>
      </c>
      <c r="J40" s="170">
        <v>0.0</v>
      </c>
      <c r="K40" s="443">
        <f>B33*numberDwellingsUK/1000</f>
        <v>3309.674849</v>
      </c>
      <c r="L40" s="441">
        <f>C33*numberDwellingsUK/1000</f>
        <v>6967.736525</v>
      </c>
      <c r="M40" s="442">
        <f>D33*numberDwellingsUK/1000</f>
        <v>10974.18503</v>
      </c>
      <c r="N40" s="152">
        <v>0.0</v>
      </c>
      <c r="O40" s="27">
        <v>0.0</v>
      </c>
      <c r="P40" s="170">
        <v>0.0</v>
      </c>
      <c r="Q40" s="152">
        <v>0.0</v>
      </c>
      <c r="R40" s="27">
        <v>0.0</v>
      </c>
      <c r="S40" s="170">
        <v>0.0</v>
      </c>
      <c r="T40" s="670" t="s">
        <v>262</v>
      </c>
    </row>
    <row r="41">
      <c r="A41" s="487" t="s">
        <v>453</v>
      </c>
      <c r="B41" s="681">
        <f t="shared" ref="B41:D41" si="10">B23</f>
        <v>1.801470588</v>
      </c>
      <c r="C41" s="682">
        <f t="shared" si="10"/>
        <v>46.32352941</v>
      </c>
      <c r="D41" s="683">
        <f t="shared" si="10"/>
        <v>140</v>
      </c>
      <c r="E41" s="478">
        <v>0.0</v>
      </c>
      <c r="F41" s="195">
        <v>0.0</v>
      </c>
      <c r="G41" s="196">
        <v>0.0</v>
      </c>
      <c r="H41" s="478">
        <v>0.0</v>
      </c>
      <c r="I41" s="195">
        <v>0.0</v>
      </c>
      <c r="J41" s="196">
        <v>0.0</v>
      </c>
      <c r="K41" s="454">
        <f>B34*numberDwellingsUK/1000</f>
        <v>165.4837425</v>
      </c>
      <c r="L41" s="460">
        <f>C34*numberDwellingsUK/1000</f>
        <v>696.7736525</v>
      </c>
      <c r="M41" s="462">
        <f>D34*numberDwellingsUK/1000</f>
        <v>2194.837005</v>
      </c>
      <c r="N41" s="478">
        <v>0.0</v>
      </c>
      <c r="O41" s="195">
        <v>0.0</v>
      </c>
      <c r="P41" s="196">
        <v>0.0</v>
      </c>
      <c r="Q41" s="478">
        <v>0.0</v>
      </c>
      <c r="R41" s="195">
        <v>0.0</v>
      </c>
      <c r="S41" s="196">
        <v>0.0</v>
      </c>
      <c r="T41" s="684" t="s">
        <v>262</v>
      </c>
    </row>
  </sheetData>
  <mergeCells count="2">
    <mergeCell ref="B37:J37"/>
    <mergeCell ref="K37:S37"/>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73.0"/>
    <col customWidth="1" min="2" max="10" width="10.44"/>
    <col customWidth="1" min="11" max="11" width="16.0"/>
    <col customWidth="1" min="12" max="19" width="10.44"/>
    <col customWidth="1" min="20" max="20" width="13.33"/>
    <col customWidth="1" min="21" max="26" width="10.44"/>
  </cols>
  <sheetData>
    <row r="1">
      <c r="A1" s="116" t="s">
        <v>478</v>
      </c>
      <c r="B1" s="2"/>
      <c r="C1" s="2"/>
      <c r="D1" s="2"/>
    </row>
    <row r="2">
      <c r="A2" s="90" t="s">
        <v>479</v>
      </c>
      <c r="B2" s="2"/>
      <c r="C2" s="2"/>
      <c r="D2" s="2"/>
    </row>
    <row r="3">
      <c r="A3" s="425" t="s">
        <v>480</v>
      </c>
    </row>
    <row r="4">
      <c r="A4" s="425" t="s">
        <v>481</v>
      </c>
    </row>
    <row r="5">
      <c r="A5" s="425" t="s">
        <v>482</v>
      </c>
    </row>
    <row r="6">
      <c r="A6" s="425" t="s">
        <v>483</v>
      </c>
    </row>
    <row r="7">
      <c r="A7" s="425" t="s">
        <v>484</v>
      </c>
    </row>
    <row r="8" ht="131.25" customHeight="1">
      <c r="A8" s="714" t="s">
        <v>485</v>
      </c>
    </row>
    <row r="9">
      <c r="A9" s="425" t="s">
        <v>486</v>
      </c>
    </row>
    <row r="10">
      <c r="A10" s="425" t="s">
        <v>487</v>
      </c>
    </row>
    <row r="11" ht="114.0" customHeight="1">
      <c r="A11" s="714" t="s">
        <v>488</v>
      </c>
    </row>
    <row r="12">
      <c r="A12" s="425"/>
    </row>
    <row r="13">
      <c r="A13" s="425"/>
      <c r="B13" s="715" t="s">
        <v>489</v>
      </c>
      <c r="C13" s="37"/>
      <c r="D13" s="46"/>
      <c r="E13" s="716" t="s">
        <v>490</v>
      </c>
      <c r="F13" s="37"/>
      <c r="G13" s="46"/>
      <c r="I13" s="717" t="s">
        <v>491</v>
      </c>
      <c r="J13" s="718"/>
      <c r="K13" s="718"/>
      <c r="L13" s="718"/>
    </row>
    <row r="14">
      <c r="A14" s="504"/>
      <c r="B14" s="338" t="s">
        <v>5</v>
      </c>
      <c r="C14" s="338" t="s">
        <v>6</v>
      </c>
      <c r="D14" s="338" t="s">
        <v>7</v>
      </c>
      <c r="E14" s="719" t="s">
        <v>5</v>
      </c>
      <c r="F14" s="719" t="s">
        <v>6</v>
      </c>
      <c r="G14" s="719" t="s">
        <v>7</v>
      </c>
    </row>
    <row r="15">
      <c r="A15" s="635" t="s">
        <v>492</v>
      </c>
      <c r="B15" s="720">
        <v>65.0</v>
      </c>
      <c r="C15" s="720">
        <v>70.0</v>
      </c>
      <c r="D15" s="720">
        <v>75.0</v>
      </c>
      <c r="E15" s="154">
        <f t="shared" ref="E15:G15" si="1">B15</f>
        <v>65</v>
      </c>
      <c r="F15" s="154">
        <f t="shared" si="1"/>
        <v>70</v>
      </c>
      <c r="G15" s="154">
        <f t="shared" si="1"/>
        <v>75</v>
      </c>
      <c r="H15" s="98" t="s">
        <v>493</v>
      </c>
      <c r="I15" s="98" t="s">
        <v>233</v>
      </c>
    </row>
    <row r="16">
      <c r="A16" s="635" t="s">
        <v>494</v>
      </c>
      <c r="B16" s="720">
        <v>60.0</v>
      </c>
      <c r="C16" s="720">
        <v>60.0</v>
      </c>
      <c r="D16" s="720">
        <v>60.0</v>
      </c>
      <c r="E16" s="154">
        <v>51.5</v>
      </c>
      <c r="F16" s="154">
        <v>51.5</v>
      </c>
      <c r="G16" s="154">
        <v>51.5</v>
      </c>
      <c r="H16" s="98" t="s">
        <v>493</v>
      </c>
      <c r="I16" s="98" t="s">
        <v>495</v>
      </c>
    </row>
    <row r="17">
      <c r="A17" s="635" t="s">
        <v>496</v>
      </c>
      <c r="B17" s="720">
        <v>18.0</v>
      </c>
      <c r="C17" s="720">
        <v>18.0</v>
      </c>
      <c r="D17" s="720">
        <v>18.0</v>
      </c>
      <c r="E17" s="154">
        <f t="shared" ref="E17:G17" si="2">B17</f>
        <v>18</v>
      </c>
      <c r="F17" s="154">
        <f t="shared" si="2"/>
        <v>18</v>
      </c>
      <c r="G17" s="154">
        <f t="shared" si="2"/>
        <v>18</v>
      </c>
      <c r="H17" s="98" t="s">
        <v>493</v>
      </c>
    </row>
    <row r="18">
      <c r="A18" s="635" t="s">
        <v>497</v>
      </c>
      <c r="B18" s="720">
        <v>700.0</v>
      </c>
      <c r="C18" s="720">
        <v>1000.0</v>
      </c>
      <c r="D18" s="720">
        <v>1500.0</v>
      </c>
      <c r="E18" s="154">
        <f t="shared" ref="E18:G18" si="3">B18</f>
        <v>700</v>
      </c>
      <c r="F18" s="154">
        <f t="shared" si="3"/>
        <v>1000</v>
      </c>
      <c r="G18" s="154">
        <f t="shared" si="3"/>
        <v>1500</v>
      </c>
      <c r="H18" s="98" t="s">
        <v>114</v>
      </c>
      <c r="I18" s="98" t="s">
        <v>498</v>
      </c>
    </row>
    <row r="19">
      <c r="A19" s="635" t="s">
        <v>499</v>
      </c>
      <c r="B19" s="720">
        <v>70.0</v>
      </c>
      <c r="C19" s="720">
        <v>70.0</v>
      </c>
      <c r="D19" s="720">
        <v>70.0</v>
      </c>
      <c r="E19" s="154">
        <f t="shared" ref="E19:G19" si="4">B19</f>
        <v>70</v>
      </c>
      <c r="F19" s="154">
        <f t="shared" si="4"/>
        <v>70</v>
      </c>
      <c r="G19" s="154">
        <f t="shared" si="4"/>
        <v>70</v>
      </c>
      <c r="H19" s="98" t="s">
        <v>493</v>
      </c>
    </row>
    <row r="20">
      <c r="A20" s="635" t="s">
        <v>500</v>
      </c>
      <c r="B20" s="115">
        <f t="shared" ref="B20:G20" si="5">B$18*(B15-B$17)/(B$19-B$17)</f>
        <v>632.6923077</v>
      </c>
      <c r="C20" s="115">
        <f t="shared" si="5"/>
        <v>1000</v>
      </c>
      <c r="D20" s="115">
        <f t="shared" si="5"/>
        <v>1644.230769</v>
      </c>
      <c r="E20" s="721">
        <f t="shared" si="5"/>
        <v>632.6923077</v>
      </c>
      <c r="F20" s="721">
        <f t="shared" si="5"/>
        <v>1000</v>
      </c>
      <c r="G20" s="721">
        <f t="shared" si="5"/>
        <v>1644.230769</v>
      </c>
      <c r="H20" s="98" t="s">
        <v>114</v>
      </c>
      <c r="I20" s="98" t="s">
        <v>501</v>
      </c>
    </row>
    <row r="21">
      <c r="A21" s="635" t="s">
        <v>502</v>
      </c>
      <c r="B21" s="115">
        <f t="shared" ref="B21:G21" si="6">B$18*(B16-B$17)/(B$19-B$17)</f>
        <v>565.3846154</v>
      </c>
      <c r="C21" s="115">
        <f t="shared" si="6"/>
        <v>807.6923077</v>
      </c>
      <c r="D21" s="115">
        <f t="shared" si="6"/>
        <v>1211.538462</v>
      </c>
      <c r="E21" s="721">
        <f t="shared" si="6"/>
        <v>450.9615385</v>
      </c>
      <c r="F21" s="721">
        <f t="shared" si="6"/>
        <v>644.2307692</v>
      </c>
      <c r="G21" s="721">
        <f t="shared" si="6"/>
        <v>966.3461538</v>
      </c>
      <c r="H21" s="98" t="s">
        <v>114</v>
      </c>
    </row>
    <row r="22">
      <c r="A22" s="635" t="s">
        <v>503</v>
      </c>
      <c r="B22" s="115">
        <f t="shared" ref="B22:G22" si="7">B20-B21</f>
        <v>67.30769231</v>
      </c>
      <c r="C22" s="115">
        <f t="shared" si="7"/>
        <v>192.3076923</v>
      </c>
      <c r="D22" s="115">
        <f t="shared" si="7"/>
        <v>432.6923077</v>
      </c>
      <c r="E22" s="721">
        <f t="shared" si="7"/>
        <v>181.7307692</v>
      </c>
      <c r="F22" s="721">
        <f t="shared" si="7"/>
        <v>355.7692308</v>
      </c>
      <c r="G22" s="721">
        <f t="shared" si="7"/>
        <v>677.8846154</v>
      </c>
      <c r="H22" s="98" t="s">
        <v>114</v>
      </c>
    </row>
    <row r="23">
      <c r="A23" s="635" t="s">
        <v>504</v>
      </c>
      <c r="B23" s="722">
        <v>0.74</v>
      </c>
      <c r="C23" s="722">
        <v>0.7</v>
      </c>
      <c r="D23" s="722">
        <v>0.64</v>
      </c>
      <c r="E23" s="155">
        <f t="shared" ref="E23:G23" si="8">B23</f>
        <v>0.74</v>
      </c>
      <c r="F23" s="155">
        <f t="shared" si="8"/>
        <v>0.7</v>
      </c>
      <c r="G23" s="155">
        <f t="shared" si="8"/>
        <v>0.64</v>
      </c>
      <c r="I23" s="98" t="s">
        <v>505</v>
      </c>
      <c r="J23" s="98" t="s">
        <v>506</v>
      </c>
    </row>
    <row r="24">
      <c r="A24" s="635" t="s">
        <v>507</v>
      </c>
      <c r="B24" s="722">
        <v>0.85</v>
      </c>
      <c r="C24" s="722">
        <v>0.8</v>
      </c>
      <c r="D24" s="722">
        <v>0.75</v>
      </c>
      <c r="E24" s="155">
        <f t="shared" ref="E24:G24" si="9">B24</f>
        <v>0.85</v>
      </c>
      <c r="F24" s="155">
        <f t="shared" si="9"/>
        <v>0.8</v>
      </c>
      <c r="G24" s="155">
        <f t="shared" si="9"/>
        <v>0.75</v>
      </c>
      <c r="I24" s="98" t="s">
        <v>505</v>
      </c>
      <c r="J24" s="98" t="s">
        <v>509</v>
      </c>
    </row>
    <row r="25">
      <c r="A25" s="635" t="s">
        <v>510</v>
      </c>
      <c r="B25" s="722">
        <f>'Turn off pre-heat'!B18</f>
        <v>0.9</v>
      </c>
      <c r="C25" s="722">
        <f>'Turn off pre-heat'!C18</f>
        <v>0.8</v>
      </c>
      <c r="D25" s="722">
        <f>'Turn off pre-heat'!D18</f>
        <v>0.5</v>
      </c>
      <c r="E25" s="155">
        <f t="shared" ref="E25:G25" si="10">B25</f>
        <v>0.9</v>
      </c>
      <c r="F25" s="155">
        <f t="shared" si="10"/>
        <v>0.8</v>
      </c>
      <c r="G25" s="155">
        <f t="shared" si="10"/>
        <v>0.5</v>
      </c>
      <c r="I25" s="98" t="s">
        <v>517</v>
      </c>
    </row>
    <row r="26">
      <c r="A26" s="635" t="s">
        <v>518</v>
      </c>
      <c r="B26" s="115">
        <f t="shared" ref="B26:G26" si="11">B22/B23</f>
        <v>90.95634096</v>
      </c>
      <c r="C26" s="115">
        <f t="shared" si="11"/>
        <v>274.7252747</v>
      </c>
      <c r="D26" s="115">
        <f t="shared" si="11"/>
        <v>676.0817308</v>
      </c>
      <c r="E26" s="721">
        <f t="shared" si="11"/>
        <v>245.5821206</v>
      </c>
      <c r="F26" s="721">
        <f t="shared" si="11"/>
        <v>508.2417582</v>
      </c>
      <c r="G26" s="721">
        <f t="shared" si="11"/>
        <v>1059.194712</v>
      </c>
      <c r="H26" s="98" t="s">
        <v>114</v>
      </c>
    </row>
    <row r="27">
      <c r="A27" s="635" t="s">
        <v>524</v>
      </c>
      <c r="B27" s="115">
        <f t="shared" ref="B27:G27" si="12">B22*(1-B25)/B24</f>
        <v>7.918552036</v>
      </c>
      <c r="C27" s="115">
        <f t="shared" si="12"/>
        <v>48.07692308</v>
      </c>
      <c r="D27" s="115">
        <f t="shared" si="12"/>
        <v>288.4615385</v>
      </c>
      <c r="E27" s="721">
        <f t="shared" si="12"/>
        <v>21.3800905</v>
      </c>
      <c r="F27" s="721">
        <f t="shared" si="12"/>
        <v>88.94230769</v>
      </c>
      <c r="G27" s="721">
        <f t="shared" si="12"/>
        <v>451.9230769</v>
      </c>
      <c r="H27" s="98" t="s">
        <v>114</v>
      </c>
    </row>
    <row r="28">
      <c r="A28" s="635" t="s">
        <v>530</v>
      </c>
      <c r="B28" s="115">
        <f t="shared" ref="B28:G28" si="13">B26-B27</f>
        <v>83.03778892</v>
      </c>
      <c r="C28" s="115">
        <f t="shared" si="13"/>
        <v>226.6483516</v>
      </c>
      <c r="D28" s="115">
        <f t="shared" si="13"/>
        <v>387.6201923</v>
      </c>
      <c r="E28" s="721">
        <f t="shared" si="13"/>
        <v>224.2020301</v>
      </c>
      <c r="F28" s="721">
        <f t="shared" si="13"/>
        <v>419.2994505</v>
      </c>
      <c r="G28" s="721">
        <f t="shared" si="13"/>
        <v>607.2716346</v>
      </c>
      <c r="H28" s="98" t="s">
        <v>114</v>
      </c>
    </row>
    <row r="29">
      <c r="A29" s="425"/>
      <c r="B29" s="441"/>
      <c r="C29" s="441"/>
      <c r="D29" s="441"/>
      <c r="E29" s="27"/>
      <c r="F29" s="27"/>
      <c r="G29" s="27"/>
    </row>
    <row r="30">
      <c r="A30" s="635" t="s">
        <v>534</v>
      </c>
      <c r="B30" s="722">
        <v>0.72</v>
      </c>
      <c r="C30" s="722">
        <v>0.69</v>
      </c>
      <c r="D30" s="722">
        <v>0.66</v>
      </c>
      <c r="E30" s="155">
        <f t="shared" ref="E30:G30" si="14">B30</f>
        <v>0.72</v>
      </c>
      <c r="F30" s="155">
        <f t="shared" si="14"/>
        <v>0.69</v>
      </c>
      <c r="G30" s="155">
        <f t="shared" si="14"/>
        <v>0.66</v>
      </c>
      <c r="I30" s="98" t="s">
        <v>505</v>
      </c>
      <c r="J30" s="98" t="s">
        <v>506</v>
      </c>
    </row>
    <row r="31">
      <c r="A31" s="635" t="s">
        <v>535</v>
      </c>
      <c r="B31" s="722">
        <v>0.84</v>
      </c>
      <c r="C31" s="722">
        <v>0.81</v>
      </c>
      <c r="D31" s="722">
        <v>0.78</v>
      </c>
      <c r="E31" s="155">
        <f t="shared" ref="E31:G31" si="15">B31</f>
        <v>0.84</v>
      </c>
      <c r="F31" s="155">
        <f t="shared" si="15"/>
        <v>0.81</v>
      </c>
      <c r="G31" s="155">
        <f t="shared" si="15"/>
        <v>0.78</v>
      </c>
      <c r="I31" s="98" t="s">
        <v>505</v>
      </c>
      <c r="J31" s="98" t="s">
        <v>509</v>
      </c>
    </row>
    <row r="32">
      <c r="A32" s="635" t="s">
        <v>538</v>
      </c>
      <c r="B32" s="115">
        <f t="shared" ref="B32:G32" si="16">B22/B30</f>
        <v>93.48290598</v>
      </c>
      <c r="C32" s="115">
        <f t="shared" si="16"/>
        <v>278.7068004</v>
      </c>
      <c r="D32" s="115">
        <f t="shared" si="16"/>
        <v>655.5944056</v>
      </c>
      <c r="E32" s="721">
        <f t="shared" si="16"/>
        <v>252.4038462</v>
      </c>
      <c r="F32" s="721">
        <f t="shared" si="16"/>
        <v>515.6075808</v>
      </c>
      <c r="G32" s="721">
        <f t="shared" si="16"/>
        <v>1027.097902</v>
      </c>
      <c r="H32" s="98" t="s">
        <v>114</v>
      </c>
    </row>
    <row r="33">
      <c r="A33" s="635" t="s">
        <v>541</v>
      </c>
      <c r="B33" s="115">
        <f t="shared" ref="B33:G33" si="17">B22*(1-B25)/B31</f>
        <v>8.012820513</v>
      </c>
      <c r="C33" s="115">
        <f t="shared" si="17"/>
        <v>47.48338082</v>
      </c>
      <c r="D33" s="115">
        <f t="shared" si="17"/>
        <v>277.3668639</v>
      </c>
      <c r="E33" s="721">
        <f t="shared" si="17"/>
        <v>21.63461538</v>
      </c>
      <c r="F33" s="721">
        <f t="shared" si="17"/>
        <v>87.84425451</v>
      </c>
      <c r="G33" s="721">
        <f t="shared" si="17"/>
        <v>434.5414201</v>
      </c>
      <c r="H33" s="98" t="s">
        <v>114</v>
      </c>
    </row>
    <row r="34">
      <c r="A34" s="635" t="s">
        <v>542</v>
      </c>
      <c r="B34" s="115">
        <f t="shared" ref="B34:G34" si="18">B32-B33</f>
        <v>85.47008547</v>
      </c>
      <c r="C34" s="115">
        <f t="shared" si="18"/>
        <v>231.2234196</v>
      </c>
      <c r="D34" s="115">
        <f t="shared" si="18"/>
        <v>378.2275417</v>
      </c>
      <c r="E34" s="721">
        <f t="shared" si="18"/>
        <v>230.7692308</v>
      </c>
      <c r="F34" s="721">
        <f t="shared" si="18"/>
        <v>427.7633263</v>
      </c>
      <c r="G34" s="721">
        <f t="shared" si="18"/>
        <v>592.556482</v>
      </c>
      <c r="H34" s="98" t="s">
        <v>114</v>
      </c>
    </row>
    <row r="35">
      <c r="A35" s="425"/>
      <c r="B35" s="27"/>
      <c r="C35" s="27"/>
      <c r="D35" s="27"/>
      <c r="E35" s="27"/>
      <c r="F35" s="27"/>
      <c r="G35" s="27"/>
    </row>
    <row r="36">
      <c r="A36" s="425"/>
    </row>
    <row r="37">
      <c r="A37" s="90" t="s">
        <v>215</v>
      </c>
      <c r="B37" s="565" t="s">
        <v>5</v>
      </c>
      <c r="C37" s="338" t="s">
        <v>6</v>
      </c>
      <c r="D37" s="338" t="s">
        <v>7</v>
      </c>
    </row>
    <row r="38">
      <c r="A38" s="635" t="s">
        <v>544</v>
      </c>
      <c r="B38" s="722">
        <f>propGasRegular*0.95</f>
        <v>0.304</v>
      </c>
      <c r="C38" s="722">
        <f>propGasRegular</f>
        <v>0.32</v>
      </c>
      <c r="D38" s="722">
        <f>propGasRegular*1.1</f>
        <v>0.352</v>
      </c>
      <c r="F38" s="98" t="s">
        <v>545</v>
      </c>
    </row>
    <row r="39">
      <c r="A39" s="635" t="s">
        <v>546</v>
      </c>
      <c r="B39" s="722">
        <f>78%*0.95</f>
        <v>0.741</v>
      </c>
      <c r="C39" s="722">
        <f>propOilRegular</f>
        <v>0.78</v>
      </c>
      <c r="D39" s="722">
        <f>78%*1.1</f>
        <v>0.858</v>
      </c>
      <c r="F39" s="98" t="s">
        <v>545</v>
      </c>
    </row>
    <row r="40">
      <c r="A40" s="635" t="s">
        <v>547</v>
      </c>
      <c r="B40" s="155">
        <v>0.5</v>
      </c>
      <c r="C40" s="155">
        <v>0.8</v>
      </c>
      <c r="D40" s="155">
        <v>0.95</v>
      </c>
      <c r="F40" s="98" t="s">
        <v>233</v>
      </c>
    </row>
    <row r="41">
      <c r="A41" s="635" t="s">
        <v>548</v>
      </c>
      <c r="B41" s="151">
        <f>B38*B40*propHomesGasHeating</f>
        <v>0.1270312059</v>
      </c>
      <c r="C41" s="151">
        <f>C38*C40*propHomesGasHeating</f>
        <v>0.2139472941</v>
      </c>
      <c r="D41" s="151">
        <f>D38*D40*propHomesGasHeating</f>
        <v>0.279468653</v>
      </c>
    </row>
    <row r="42">
      <c r="A42" s="635" t="s">
        <v>550</v>
      </c>
      <c r="B42" s="151">
        <f>B39*B40*propHomesOilHeating</f>
        <v>0.0197881918</v>
      </c>
      <c r="C42" s="151">
        <f>C39*C40*propHomesOilHeating</f>
        <v>0.03332748093</v>
      </c>
      <c r="D42" s="151">
        <f>D39*D40*propHomesOilHeating</f>
        <v>0.04353402197</v>
      </c>
    </row>
    <row r="43">
      <c r="A43" s="635" t="s">
        <v>351</v>
      </c>
      <c r="B43" s="151">
        <f t="shared" ref="B43:D43" si="19">SUM(B41:B42)</f>
        <v>0.1468193977</v>
      </c>
      <c r="C43" s="151">
        <f t="shared" si="19"/>
        <v>0.2472747751</v>
      </c>
      <c r="D43" s="151">
        <f t="shared" si="19"/>
        <v>0.3230026749</v>
      </c>
    </row>
    <row r="44">
      <c r="A44" s="425"/>
      <c r="B44" s="290"/>
      <c r="C44" s="290"/>
      <c r="D44" s="290"/>
    </row>
    <row r="45">
      <c r="A45" s="425"/>
    </row>
    <row r="46">
      <c r="A46" s="116" t="s">
        <v>16</v>
      </c>
      <c r="B46" s="465" t="s">
        <v>11</v>
      </c>
      <c r="C46" s="9"/>
      <c r="D46" s="9"/>
      <c r="E46" s="9"/>
      <c r="F46" s="9"/>
      <c r="G46" s="9"/>
      <c r="H46" s="9"/>
      <c r="I46" s="9"/>
      <c r="J46" s="10"/>
      <c r="K46" s="465" t="s">
        <v>256</v>
      </c>
      <c r="L46" s="9"/>
      <c r="M46" s="9"/>
      <c r="N46" s="9"/>
      <c r="O46" s="9"/>
      <c r="P46" s="9"/>
      <c r="Q46" s="9"/>
      <c r="R46" s="9"/>
      <c r="S46" s="10"/>
      <c r="T46" s="335" t="s">
        <v>257</v>
      </c>
    </row>
    <row r="47">
      <c r="A47" s="326"/>
      <c r="B47" s="747" t="s">
        <v>30</v>
      </c>
      <c r="C47" s="667"/>
      <c r="D47" s="667"/>
      <c r="E47" s="667" t="s">
        <v>31</v>
      </c>
      <c r="F47" s="667"/>
      <c r="G47" s="667"/>
      <c r="H47" s="748" t="s">
        <v>32</v>
      </c>
      <c r="I47" s="748"/>
      <c r="J47" s="749"/>
      <c r="K47" s="747" t="s">
        <v>30</v>
      </c>
      <c r="L47" s="667"/>
      <c r="M47" s="667"/>
      <c r="N47" s="667" t="s">
        <v>31</v>
      </c>
      <c r="O47" s="667"/>
      <c r="P47" s="667"/>
      <c r="Q47" s="748" t="s">
        <v>32</v>
      </c>
      <c r="R47" s="748"/>
      <c r="S47" s="749"/>
      <c r="T47" s="750"/>
    </row>
    <row r="48">
      <c r="A48" s="473"/>
      <c r="B48" s="74" t="s">
        <v>5</v>
      </c>
      <c r="C48" s="69" t="s">
        <v>6</v>
      </c>
      <c r="D48" s="69" t="s">
        <v>7</v>
      </c>
      <c r="E48" s="79" t="s">
        <v>5</v>
      </c>
      <c r="F48" s="69" t="s">
        <v>6</v>
      </c>
      <c r="G48" s="69" t="s">
        <v>7</v>
      </c>
      <c r="H48" s="79" t="s">
        <v>5</v>
      </c>
      <c r="I48" s="69" t="s">
        <v>6</v>
      </c>
      <c r="J48" s="70" t="s">
        <v>7</v>
      </c>
      <c r="K48" s="74" t="s">
        <v>5</v>
      </c>
      <c r="L48" s="69" t="s">
        <v>6</v>
      </c>
      <c r="M48" s="69" t="s">
        <v>7</v>
      </c>
      <c r="N48" s="79" t="s">
        <v>5</v>
      </c>
      <c r="O48" s="69" t="s">
        <v>6</v>
      </c>
      <c r="P48" s="69" t="s">
        <v>7</v>
      </c>
      <c r="Q48" s="79" t="s">
        <v>5</v>
      </c>
      <c r="R48" s="69" t="s">
        <v>6</v>
      </c>
      <c r="S48" s="70" t="s">
        <v>7</v>
      </c>
      <c r="T48" s="340"/>
    </row>
    <row r="49">
      <c r="A49" s="635" t="s">
        <v>130</v>
      </c>
      <c r="B49" s="443">
        <f t="shared" ref="B49:D49" si="20">B28</f>
        <v>83.03778892</v>
      </c>
      <c r="C49" s="441">
        <f t="shared" si="20"/>
        <v>226.6483516</v>
      </c>
      <c r="D49" s="441">
        <f t="shared" si="20"/>
        <v>387.6201923</v>
      </c>
      <c r="E49" s="755">
        <f t="shared" ref="E49:G49" si="21">E34</f>
        <v>230.7692308</v>
      </c>
      <c r="F49" s="755">
        <f t="shared" si="21"/>
        <v>427.7633263</v>
      </c>
      <c r="G49" s="755">
        <f t="shared" si="21"/>
        <v>592.556482</v>
      </c>
      <c r="H49" s="27">
        <v>0.0</v>
      </c>
      <c r="I49" s="27">
        <v>0.0</v>
      </c>
      <c r="J49" s="170">
        <v>0.0</v>
      </c>
      <c r="K49" s="443">
        <f>B41*numberDwellingsUK/1000</f>
        <v>3893.735117</v>
      </c>
      <c r="L49" s="441">
        <f>C41*numberDwellingsUK/1000</f>
        <v>6557.86967</v>
      </c>
      <c r="M49" s="441">
        <f>D41*numberDwellingsUK/1000</f>
        <v>8566.217257</v>
      </c>
      <c r="N49" s="441">
        <f>B42*numberDwellingsUK/1000</f>
        <v>606.5436975</v>
      </c>
      <c r="O49" s="441">
        <f>C42*numberDwellingsUK/1000</f>
        <v>1021.54728</v>
      </c>
      <c r="P49" s="441">
        <f>D42*numberDwellingsUK/1000</f>
        <v>1334.396135</v>
      </c>
      <c r="Q49" s="27">
        <v>0.0</v>
      </c>
      <c r="R49" s="27">
        <v>0.0</v>
      </c>
      <c r="S49" s="170">
        <v>0.0</v>
      </c>
      <c r="T49" s="385" t="s">
        <v>262</v>
      </c>
    </row>
    <row r="50">
      <c r="A50" s="635" t="s">
        <v>553</v>
      </c>
      <c r="B50" s="681">
        <f t="shared" ref="B50:D50" si="22">E28</f>
        <v>224.2020301</v>
      </c>
      <c r="C50" s="682">
        <f t="shared" si="22"/>
        <v>419.2994505</v>
      </c>
      <c r="D50" s="682">
        <f t="shared" si="22"/>
        <v>607.2716346</v>
      </c>
      <c r="E50" s="460">
        <f t="shared" ref="E50:G50" si="23">E34</f>
        <v>230.7692308</v>
      </c>
      <c r="F50" s="460">
        <f t="shared" si="23"/>
        <v>427.7633263</v>
      </c>
      <c r="G50" s="460">
        <f t="shared" si="23"/>
        <v>592.556482</v>
      </c>
      <c r="H50" s="195">
        <v>0.0</v>
      </c>
      <c r="I50" s="195">
        <v>0.0</v>
      </c>
      <c r="J50" s="196">
        <v>0.0</v>
      </c>
      <c r="K50" s="454">
        <f t="shared" ref="K50:P50" si="24">K49</f>
        <v>3893.735117</v>
      </c>
      <c r="L50" s="460">
        <f t="shared" si="24"/>
        <v>6557.86967</v>
      </c>
      <c r="M50" s="460">
        <f t="shared" si="24"/>
        <v>8566.217257</v>
      </c>
      <c r="N50" s="460">
        <f t="shared" si="24"/>
        <v>606.5436975</v>
      </c>
      <c r="O50" s="460">
        <f t="shared" si="24"/>
        <v>1021.54728</v>
      </c>
      <c r="P50" s="460">
        <f t="shared" si="24"/>
        <v>1334.396135</v>
      </c>
      <c r="Q50" s="195">
        <v>0.0</v>
      </c>
      <c r="R50" s="195">
        <v>0.0</v>
      </c>
      <c r="S50" s="196">
        <v>0.0</v>
      </c>
      <c r="T50" s="758" t="s">
        <v>262</v>
      </c>
    </row>
    <row r="51">
      <c r="A51" s="425"/>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5">
    <mergeCell ref="B13:D13"/>
    <mergeCell ref="E13:G13"/>
    <mergeCell ref="B46:J46"/>
    <mergeCell ref="K46:S46"/>
    <mergeCell ref="T46:T48"/>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46.44"/>
    <col customWidth="1" min="2" max="19" width="10.44"/>
    <col customWidth="1" min="20" max="20" width="19.44"/>
    <col customWidth="1" min="21" max="26" width="10.44"/>
  </cols>
  <sheetData>
    <row r="1">
      <c r="A1" s="90" t="s">
        <v>508</v>
      </c>
      <c r="B1" s="2"/>
      <c r="C1" s="2"/>
      <c r="D1" s="2"/>
    </row>
    <row r="2">
      <c r="A2" s="90" t="s">
        <v>511</v>
      </c>
      <c r="B2" s="2"/>
      <c r="C2" s="2"/>
      <c r="D2" s="2"/>
    </row>
    <row r="3">
      <c r="A3" s="425" t="s">
        <v>512</v>
      </c>
    </row>
    <row r="4">
      <c r="A4" s="425" t="s">
        <v>513</v>
      </c>
    </row>
    <row r="5" ht="61.5" customHeight="1">
      <c r="A5" s="425" t="s">
        <v>514</v>
      </c>
    </row>
    <row r="6">
      <c r="A6" s="425" t="s">
        <v>515</v>
      </c>
    </row>
    <row r="7">
      <c r="A7" s="425"/>
    </row>
    <row r="8">
      <c r="A8" s="425"/>
      <c r="E8" s="524"/>
      <c r="F8" s="524"/>
    </row>
    <row r="9">
      <c r="A9" s="425"/>
      <c r="E9" s="524"/>
      <c r="F9" s="524"/>
    </row>
    <row r="10">
      <c r="A10" s="425"/>
      <c r="E10" s="524"/>
      <c r="F10" s="524"/>
    </row>
    <row r="11">
      <c r="A11" s="425"/>
      <c r="E11" s="524"/>
      <c r="F11" s="524"/>
    </row>
    <row r="12">
      <c r="A12" s="723" t="s">
        <v>516</v>
      </c>
      <c r="B12" s="506" t="s">
        <v>5</v>
      </c>
      <c r="C12" s="506" t="s">
        <v>6</v>
      </c>
      <c r="D12" s="508" t="s">
        <v>7</v>
      </c>
      <c r="E12" s="524"/>
      <c r="F12" s="524"/>
    </row>
    <row r="13">
      <c r="A13" s="724" t="s">
        <v>519</v>
      </c>
      <c r="B13" s="725">
        <v>50.0</v>
      </c>
      <c r="C13" s="725">
        <v>52.0</v>
      </c>
      <c r="D13" s="726">
        <v>55.0</v>
      </c>
      <c r="E13" s="524" t="s">
        <v>493</v>
      </c>
      <c r="F13" s="524" t="s">
        <v>520</v>
      </c>
    </row>
    <row r="14">
      <c r="A14" s="724" t="s">
        <v>521</v>
      </c>
      <c r="B14" s="725">
        <v>45.0</v>
      </c>
      <c r="C14" s="725">
        <v>42.0</v>
      </c>
      <c r="D14" s="726">
        <v>40.0</v>
      </c>
      <c r="E14" s="524" t="s">
        <v>493</v>
      </c>
      <c r="F14" s="524"/>
    </row>
    <row r="15">
      <c r="A15" s="724" t="s">
        <v>522</v>
      </c>
      <c r="B15" s="725">
        <v>13.0</v>
      </c>
      <c r="C15" s="725">
        <v>13.0</v>
      </c>
      <c r="D15" s="726">
        <v>13.0</v>
      </c>
      <c r="E15" s="524" t="s">
        <v>493</v>
      </c>
      <c r="F15" s="524" t="s">
        <v>523</v>
      </c>
    </row>
    <row r="16">
      <c r="A16" s="724" t="s">
        <v>525</v>
      </c>
      <c r="B16" s="725">
        <v>2.0</v>
      </c>
      <c r="C16" s="725">
        <v>2.5</v>
      </c>
      <c r="D16" s="726">
        <v>3.0</v>
      </c>
      <c r="E16" s="524"/>
      <c r="F16" s="524"/>
    </row>
    <row r="17">
      <c r="A17" s="724" t="s">
        <v>526</v>
      </c>
      <c r="B17" s="517">
        <f t="shared" ref="B17:D17" si="1">(9.8*B16+14)*1.075</f>
        <v>36.12</v>
      </c>
      <c r="C17" s="517">
        <f t="shared" si="1"/>
        <v>41.3875</v>
      </c>
      <c r="D17" s="518">
        <f t="shared" si="1"/>
        <v>46.655</v>
      </c>
      <c r="E17" s="524" t="s">
        <v>527</v>
      </c>
      <c r="F17" s="524" t="s">
        <v>528</v>
      </c>
    </row>
    <row r="18">
      <c r="A18" s="724" t="s">
        <v>529</v>
      </c>
      <c r="B18" s="517">
        <f t="shared" ref="B18:D18" si="2">(B13-B15)*B17*4.18/3600*365</f>
        <v>566.3906967</v>
      </c>
      <c r="C18" s="517">
        <f t="shared" si="2"/>
        <v>684.0698448</v>
      </c>
      <c r="D18" s="518">
        <f t="shared" si="2"/>
        <v>830.4512242</v>
      </c>
      <c r="E18" s="524" t="s">
        <v>114</v>
      </c>
      <c r="F18" s="524"/>
    </row>
    <row r="19">
      <c r="A19" s="724" t="s">
        <v>532</v>
      </c>
      <c r="B19" s="517">
        <f t="shared" ref="B19:D19" si="3">(B14-B15)*B17*4.18/3600*365</f>
        <v>489.8514133</v>
      </c>
      <c r="C19" s="517">
        <f t="shared" si="3"/>
        <v>508.6673205</v>
      </c>
      <c r="D19" s="518">
        <f t="shared" si="3"/>
        <v>533.8615013</v>
      </c>
      <c r="E19" s="524" t="s">
        <v>114</v>
      </c>
      <c r="F19" s="524"/>
    </row>
    <row r="20">
      <c r="A20" s="727" t="s">
        <v>503</v>
      </c>
      <c r="B20" s="520">
        <f t="shared" ref="B20:D20" si="4">B18-B19</f>
        <v>76.53928333</v>
      </c>
      <c r="C20" s="520">
        <f t="shared" si="4"/>
        <v>175.4025243</v>
      </c>
      <c r="D20" s="521">
        <f t="shared" si="4"/>
        <v>296.5897229</v>
      </c>
      <c r="E20" s="524" t="s">
        <v>114</v>
      </c>
      <c r="F20" s="524"/>
    </row>
    <row r="21">
      <c r="A21" s="425"/>
    </row>
    <row r="22">
      <c r="A22" s="723" t="s">
        <v>536</v>
      </c>
      <c r="B22" s="4" t="s">
        <v>5</v>
      </c>
      <c r="C22" s="4" t="s">
        <v>6</v>
      </c>
      <c r="D22" s="5" t="s">
        <v>7</v>
      </c>
    </row>
    <row r="23">
      <c r="A23" s="724" t="s">
        <v>537</v>
      </c>
      <c r="B23" s="260">
        <f>'Reducing DHW temp. (cylinder)'!B23</f>
        <v>0.74</v>
      </c>
      <c r="C23" s="260">
        <f>'Reducing DHW temp. (cylinder)'!C23</f>
        <v>0.7</v>
      </c>
      <c r="D23" s="262">
        <f>'Reducing DHW temp. (cylinder)'!D23</f>
        <v>0.64</v>
      </c>
      <c r="F23" s="98" t="s">
        <v>539</v>
      </c>
    </row>
    <row r="24">
      <c r="A24" s="727" t="s">
        <v>540</v>
      </c>
      <c r="B24" s="265">
        <f>'Reducing DHW temp. (cylinder)'!B30</f>
        <v>0.72</v>
      </c>
      <c r="C24" s="265">
        <f>'Reducing DHW temp. (cylinder)'!C30</f>
        <v>0.69</v>
      </c>
      <c r="D24" s="268">
        <f>'Reducing DHW temp. (cylinder)'!D30</f>
        <v>0.66</v>
      </c>
      <c r="F24" s="98" t="s">
        <v>539</v>
      </c>
    </row>
    <row r="25">
      <c r="A25" s="425"/>
    </row>
    <row r="26">
      <c r="A26" s="334" t="s">
        <v>174</v>
      </c>
      <c r="B26" s="5"/>
      <c r="C26" s="334" t="s">
        <v>114</v>
      </c>
      <c r="D26" s="4"/>
      <c r="E26" s="5"/>
      <c r="F26" s="334" t="s">
        <v>175</v>
      </c>
      <c r="G26" s="4"/>
      <c r="H26" s="5"/>
    </row>
    <row r="27">
      <c r="A27" s="728"/>
      <c r="B27" s="729"/>
      <c r="C27" s="337" t="s">
        <v>5</v>
      </c>
      <c r="D27" s="338" t="s">
        <v>6</v>
      </c>
      <c r="E27" s="339" t="s">
        <v>7</v>
      </c>
      <c r="F27" s="337" t="s">
        <v>5</v>
      </c>
      <c r="G27" s="338" t="s">
        <v>6</v>
      </c>
      <c r="H27" s="339" t="s">
        <v>7</v>
      </c>
    </row>
    <row r="28">
      <c r="A28" s="415" t="s">
        <v>543</v>
      </c>
      <c r="B28" s="730" t="s">
        <v>30</v>
      </c>
      <c r="C28" s="491">
        <f t="shared" ref="C28:E28" si="5">B20/B23</f>
        <v>103.431464</v>
      </c>
      <c r="D28" s="517">
        <f t="shared" si="5"/>
        <v>250.5750347</v>
      </c>
      <c r="E28" s="518">
        <f t="shared" si="5"/>
        <v>463.4214421</v>
      </c>
      <c r="F28" s="731">
        <f>ROUND(C28*gasPricePerkWh/100,0)</f>
        <v>8</v>
      </c>
      <c r="G28" s="732">
        <f>ROUND(D28*gasPricePerkWh/100,0)</f>
        <v>20</v>
      </c>
      <c r="H28" s="733">
        <f>ROUND(E28*gasPricePerkWh/100,0)</f>
        <v>37</v>
      </c>
    </row>
    <row r="29">
      <c r="A29" s="727"/>
      <c r="B29" s="734" t="s">
        <v>31</v>
      </c>
      <c r="C29" s="494">
        <f t="shared" ref="C29:E29" si="6">B20/B24</f>
        <v>106.3045602</v>
      </c>
      <c r="D29" s="520">
        <f t="shared" si="6"/>
        <v>254.206557</v>
      </c>
      <c r="E29" s="521">
        <f t="shared" si="6"/>
        <v>449.3783681</v>
      </c>
      <c r="F29" s="735">
        <f>ROUND(C29*oilPriceP/100,0)</f>
        <v>10</v>
      </c>
      <c r="G29" s="736">
        <f>ROUND(D29*oilPriceP/100,0)</f>
        <v>25</v>
      </c>
      <c r="H29" s="737">
        <f>ROUND(E29*oilPriceP/100,0)</f>
        <v>43</v>
      </c>
    </row>
    <row r="30">
      <c r="A30" s="425"/>
    </row>
    <row r="31">
      <c r="A31" s="723" t="s">
        <v>215</v>
      </c>
      <c r="B31" s="4"/>
      <c r="C31" s="738" t="s">
        <v>5</v>
      </c>
      <c r="D31" s="323" t="s">
        <v>6</v>
      </c>
      <c r="E31" s="324" t="s">
        <v>7</v>
      </c>
    </row>
    <row r="32">
      <c r="A32" s="739" t="s">
        <v>445</v>
      </c>
      <c r="B32" s="73" t="s">
        <v>30</v>
      </c>
      <c r="C32" s="260">
        <f t="shared" ref="C32:C33" si="7">D32*0.95</f>
        <v>0.539882625</v>
      </c>
      <c r="D32" s="260">
        <f>propHomesGasHeating*(1-propGasRegular)</f>
        <v>0.5682975</v>
      </c>
      <c r="E32" s="262">
        <f t="shared" ref="E32:E33" si="8">D32*1.05</f>
        <v>0.5967123751</v>
      </c>
    </row>
    <row r="33">
      <c r="A33" s="483" t="s">
        <v>549</v>
      </c>
      <c r="B33" s="740" t="s">
        <v>31</v>
      </c>
      <c r="C33" s="495">
        <f t="shared" si="7"/>
        <v>0.01116256973</v>
      </c>
      <c r="D33" s="495">
        <f>propHomesOilHeating*(1-propOilRegular)</f>
        <v>0.01175007341</v>
      </c>
      <c r="E33" s="741">
        <f t="shared" si="8"/>
        <v>0.01233757708</v>
      </c>
    </row>
    <row r="34">
      <c r="A34" s="425"/>
    </row>
    <row r="35">
      <c r="A35" s="425"/>
    </row>
    <row r="36">
      <c r="A36" s="425"/>
    </row>
    <row r="37">
      <c r="A37" s="742" t="s">
        <v>16</v>
      </c>
      <c r="B37" s="743" t="s">
        <v>11</v>
      </c>
      <c r="C37" s="9"/>
      <c r="D37" s="9"/>
      <c r="E37" s="9"/>
      <c r="F37" s="9"/>
      <c r="G37" s="9"/>
      <c r="H37" s="9"/>
      <c r="I37" s="9"/>
      <c r="J37" s="677"/>
      <c r="K37" s="465" t="s">
        <v>256</v>
      </c>
      <c r="L37" s="9"/>
      <c r="M37" s="9"/>
      <c r="N37" s="9"/>
      <c r="O37" s="9"/>
      <c r="P37" s="9"/>
      <c r="Q37" s="9"/>
      <c r="R37" s="9"/>
      <c r="S37" s="10"/>
      <c r="T37" s="467" t="s">
        <v>257</v>
      </c>
    </row>
    <row r="38">
      <c r="A38" s="744"/>
      <c r="B38" s="468" t="s">
        <v>30</v>
      </c>
      <c r="C38" s="469"/>
      <c r="D38" s="470"/>
      <c r="E38" s="468" t="s">
        <v>31</v>
      </c>
      <c r="F38" s="469"/>
      <c r="G38" s="470"/>
      <c r="H38" s="60" t="s">
        <v>32</v>
      </c>
      <c r="I38" s="57"/>
      <c r="J38" s="58"/>
      <c r="K38" s="468" t="s">
        <v>30</v>
      </c>
      <c r="L38" s="469"/>
      <c r="M38" s="470"/>
      <c r="N38" s="468" t="s">
        <v>31</v>
      </c>
      <c r="O38" s="469"/>
      <c r="P38" s="470"/>
      <c r="Q38" s="60" t="s">
        <v>32</v>
      </c>
      <c r="R38" s="57"/>
      <c r="S38" s="58"/>
      <c r="T38" s="474"/>
    </row>
    <row r="39">
      <c r="A39" s="745"/>
      <c r="B39" s="74" t="s">
        <v>5</v>
      </c>
      <c r="C39" s="69" t="s">
        <v>6</v>
      </c>
      <c r="D39" s="70" t="s">
        <v>7</v>
      </c>
      <c r="E39" s="74" t="s">
        <v>5</v>
      </c>
      <c r="F39" s="69" t="s">
        <v>6</v>
      </c>
      <c r="G39" s="70" t="s">
        <v>7</v>
      </c>
      <c r="H39" s="74" t="s">
        <v>5</v>
      </c>
      <c r="I39" s="69" t="s">
        <v>6</v>
      </c>
      <c r="J39" s="70" t="s">
        <v>7</v>
      </c>
      <c r="K39" s="74" t="s">
        <v>5</v>
      </c>
      <c r="L39" s="69" t="s">
        <v>6</v>
      </c>
      <c r="M39" s="70" t="s">
        <v>7</v>
      </c>
      <c r="N39" s="74" t="s">
        <v>5</v>
      </c>
      <c r="O39" s="69" t="s">
        <v>6</v>
      </c>
      <c r="P39" s="70" t="s">
        <v>7</v>
      </c>
      <c r="Q39" s="74" t="s">
        <v>5</v>
      </c>
      <c r="R39" s="69" t="s">
        <v>6</v>
      </c>
      <c r="S39" s="70" t="s">
        <v>7</v>
      </c>
      <c r="T39" s="679"/>
    </row>
    <row r="40">
      <c r="A40" s="744" t="s">
        <v>552</v>
      </c>
      <c r="B40" s="403">
        <f t="shared" ref="B40:D40" si="9">C28</f>
        <v>103.431464</v>
      </c>
      <c r="C40" s="405">
        <f t="shared" si="9"/>
        <v>250.5750347</v>
      </c>
      <c r="D40" s="572">
        <f t="shared" si="9"/>
        <v>463.4214421</v>
      </c>
      <c r="E40" s="403">
        <f t="shared" ref="E40:G40" si="10">C29</f>
        <v>106.3045602</v>
      </c>
      <c r="F40" s="405">
        <f t="shared" si="10"/>
        <v>254.206557</v>
      </c>
      <c r="G40" s="572">
        <f t="shared" si="10"/>
        <v>449.3783681</v>
      </c>
      <c r="H40" s="751">
        <v>0.0</v>
      </c>
      <c r="I40" s="752">
        <v>0.0</v>
      </c>
      <c r="J40" s="753">
        <v>0.0</v>
      </c>
      <c r="K40" s="754">
        <f>C32*numberDwellingsUK/1000</f>
        <v>16548.37425</v>
      </c>
      <c r="L40" s="756">
        <f>D32*numberDwellingsUK/1000</f>
        <v>17419.34131</v>
      </c>
      <c r="M40" s="757">
        <f>E32*numberDwellingsUK/1000</f>
        <v>18290.30838</v>
      </c>
      <c r="N40" s="403">
        <f>C33*numberDwellingsUK/1000</f>
        <v>342.152855</v>
      </c>
      <c r="O40" s="405">
        <f>D33*numberDwellingsUK/1000</f>
        <v>360.1609</v>
      </c>
      <c r="P40" s="572">
        <f>E33*numberDwellingsUK/1000</f>
        <v>378.168945</v>
      </c>
      <c r="Q40" s="403">
        <v>0.0</v>
      </c>
      <c r="R40" s="405">
        <v>0.0</v>
      </c>
      <c r="S40" s="572">
        <v>0.0</v>
      </c>
      <c r="T40" s="372" t="s">
        <v>262</v>
      </c>
    </row>
    <row r="41">
      <c r="A41" s="425"/>
    </row>
    <row r="42">
      <c r="A42" s="425"/>
    </row>
    <row r="43">
      <c r="A43" s="425"/>
    </row>
    <row r="44">
      <c r="A44" s="425"/>
    </row>
    <row r="45">
      <c r="A45" s="425"/>
    </row>
    <row r="46">
      <c r="A46" s="425"/>
    </row>
    <row r="47">
      <c r="A47" s="425"/>
    </row>
    <row r="48">
      <c r="A48" s="425"/>
    </row>
    <row r="49">
      <c r="A49" s="425"/>
    </row>
    <row r="50">
      <c r="A50" s="425"/>
    </row>
    <row r="51">
      <c r="A51" s="425"/>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2">
    <mergeCell ref="B37:J37"/>
    <mergeCell ref="K37:S37"/>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63.44"/>
    <col customWidth="1" min="2" max="26" width="10.44"/>
  </cols>
  <sheetData>
    <row r="1" ht="30.0" customHeight="1">
      <c r="A1" s="116" t="s">
        <v>383</v>
      </c>
      <c r="B1" s="2"/>
      <c r="C1" s="2"/>
      <c r="D1" s="2"/>
    </row>
    <row r="2">
      <c r="A2" s="116" t="s">
        <v>557</v>
      </c>
      <c r="B2" s="2"/>
      <c r="C2" s="2"/>
      <c r="D2" s="2"/>
    </row>
    <row r="3">
      <c r="A3" s="425" t="s">
        <v>558</v>
      </c>
      <c r="B3" s="500"/>
      <c r="C3" s="500"/>
    </row>
    <row r="4">
      <c r="A4" s="425" t="s">
        <v>559</v>
      </c>
      <c r="B4" s="500"/>
      <c r="C4" s="500"/>
    </row>
    <row r="5" ht="96.75" customHeight="1">
      <c r="A5" s="425" t="s">
        <v>560</v>
      </c>
      <c r="B5" s="500"/>
      <c r="C5" s="500"/>
    </row>
    <row r="6">
      <c r="A6" s="425" t="s">
        <v>561</v>
      </c>
      <c r="B6" s="763"/>
    </row>
    <row r="7">
      <c r="A7" s="425" t="s">
        <v>562</v>
      </c>
    </row>
    <row r="8">
      <c r="A8" s="425" t="s">
        <v>563</v>
      </c>
    </row>
    <row r="9">
      <c r="A9" s="425"/>
    </row>
    <row r="10">
      <c r="A10" s="90" t="s">
        <v>564</v>
      </c>
      <c r="B10" s="6"/>
      <c r="C10" s="8" t="s">
        <v>565</v>
      </c>
      <c r="D10" s="9"/>
      <c r="E10" s="677"/>
      <c r="F10" s="5"/>
    </row>
    <row r="11">
      <c r="A11" s="487"/>
      <c r="B11" s="764" t="s">
        <v>566</v>
      </c>
      <c r="C11" s="765" t="s">
        <v>567</v>
      </c>
      <c r="D11" s="766" t="s">
        <v>568</v>
      </c>
      <c r="E11" s="766" t="s">
        <v>569</v>
      </c>
      <c r="F11" s="767" t="s">
        <v>570</v>
      </c>
      <c r="G11" s="425"/>
      <c r="H11" s="425"/>
      <c r="I11" s="425"/>
      <c r="J11" s="425"/>
      <c r="K11" s="425"/>
      <c r="L11" s="425"/>
      <c r="M11" s="425"/>
      <c r="N11" s="425"/>
      <c r="O11" s="425"/>
      <c r="P11" s="425"/>
      <c r="Q11" s="425"/>
      <c r="R11" s="425"/>
      <c r="S11" s="425"/>
      <c r="T11" s="425"/>
      <c r="U11" s="425"/>
      <c r="V11" s="425"/>
      <c r="W11" s="425"/>
      <c r="X11" s="425"/>
      <c r="Y11" s="425"/>
      <c r="Z11" s="425"/>
    </row>
    <row r="12">
      <c r="A12" s="487"/>
      <c r="B12" s="768">
        <v>0.1</v>
      </c>
      <c r="C12" s="769">
        <v>0.0</v>
      </c>
      <c r="D12" s="770">
        <v>0.002</v>
      </c>
      <c r="E12" s="770">
        <v>-0.001</v>
      </c>
      <c r="F12" s="771">
        <v>0.0</v>
      </c>
    </row>
    <row r="13">
      <c r="A13" s="487"/>
      <c r="B13" s="768">
        <v>0.2</v>
      </c>
      <c r="C13" s="769">
        <v>0.0</v>
      </c>
      <c r="D13" s="770">
        <v>0.003</v>
      </c>
      <c r="E13" s="770">
        <v>-0.002</v>
      </c>
      <c r="F13" s="771">
        <v>0.0</v>
      </c>
    </row>
    <row r="14">
      <c r="A14" s="487" t="s">
        <v>571</v>
      </c>
      <c r="B14" s="772">
        <v>0.4</v>
      </c>
      <c r="C14" s="773">
        <v>-0.007</v>
      </c>
      <c r="D14" s="774">
        <v>-0.001</v>
      </c>
      <c r="E14" s="774">
        <v>-0.013</v>
      </c>
      <c r="F14" s="775">
        <v>-0.009</v>
      </c>
    </row>
    <row r="15">
      <c r="A15" s="425"/>
    </row>
    <row r="16">
      <c r="A16" s="425"/>
    </row>
    <row r="17">
      <c r="A17" s="90" t="s">
        <v>572</v>
      </c>
      <c r="B17" s="777" t="s">
        <v>5</v>
      </c>
      <c r="C17" s="777" t="s">
        <v>6</v>
      </c>
      <c r="D17" s="777" t="s">
        <v>7</v>
      </c>
      <c r="E17" s="2"/>
      <c r="F17" s="2"/>
    </row>
    <row r="18" ht="65.25" customHeight="1">
      <c r="A18" s="487" t="s">
        <v>573</v>
      </c>
      <c r="B18" s="779">
        <v>0.1</v>
      </c>
      <c r="C18" s="779">
        <v>0.3</v>
      </c>
      <c r="D18" s="779">
        <v>0.5</v>
      </c>
      <c r="E18" s="98" t="s">
        <v>574</v>
      </c>
    </row>
    <row r="19">
      <c r="A19" s="487" t="s">
        <v>575</v>
      </c>
      <c r="B19" s="779">
        <v>0.2</v>
      </c>
      <c r="C19" s="779">
        <v>0.4</v>
      </c>
      <c r="D19" s="779">
        <v>0.8</v>
      </c>
      <c r="E19" s="98" t="s">
        <v>574</v>
      </c>
    </row>
    <row r="20">
      <c r="A20" s="487" t="s">
        <v>576</v>
      </c>
      <c r="B20" s="782">
        <f t="shared" ref="B20:D20" si="1">B18*B19</f>
        <v>0.02</v>
      </c>
      <c r="C20" s="782">
        <f t="shared" si="1"/>
        <v>0.12</v>
      </c>
      <c r="D20" s="782">
        <f t="shared" si="1"/>
        <v>0.4</v>
      </c>
    </row>
    <row r="21">
      <c r="A21" s="487"/>
      <c r="B21" s="783"/>
      <c r="C21" s="783"/>
      <c r="D21" s="783"/>
    </row>
    <row r="22">
      <c r="A22" s="509" t="s">
        <v>577</v>
      </c>
      <c r="B22" s="784">
        <f>MIN(C12:F12)</f>
        <v>-0.001</v>
      </c>
      <c r="C22" s="784" t="str">
        <f>F1</f>
        <v/>
      </c>
      <c r="D22" s="784">
        <f>MIN(C14:F14)</f>
        <v>-0.013</v>
      </c>
    </row>
    <row r="23">
      <c r="A23" s="425"/>
    </row>
    <row r="24">
      <c r="A24" s="425"/>
    </row>
    <row r="25">
      <c r="A25" s="425"/>
    </row>
    <row r="26">
      <c r="A26" s="425"/>
    </row>
    <row r="27">
      <c r="A27" s="425"/>
    </row>
    <row r="28">
      <c r="A28" s="425"/>
    </row>
    <row r="29">
      <c r="A29" s="425"/>
    </row>
    <row r="30">
      <c r="A30" s="425"/>
    </row>
    <row r="31">
      <c r="A31" s="425"/>
    </row>
    <row r="32">
      <c r="A32" s="425"/>
    </row>
    <row r="33">
      <c r="A33" s="425"/>
    </row>
    <row r="34">
      <c r="A34" s="425"/>
    </row>
    <row r="35">
      <c r="A35" s="425"/>
    </row>
    <row r="36">
      <c r="A36" s="425"/>
    </row>
    <row r="37">
      <c r="A37" s="425"/>
    </row>
    <row r="38">
      <c r="A38" s="425"/>
    </row>
    <row r="39">
      <c r="A39" s="425"/>
    </row>
    <row r="40">
      <c r="A40" s="425"/>
    </row>
    <row r="41">
      <c r="A41" s="425"/>
    </row>
    <row r="42">
      <c r="A42" s="425"/>
    </row>
    <row r="43">
      <c r="A43" s="425"/>
    </row>
    <row r="44">
      <c r="A44" s="425"/>
    </row>
    <row r="45">
      <c r="A45" s="425"/>
    </row>
    <row r="46">
      <c r="A46" s="425"/>
    </row>
    <row r="47">
      <c r="A47" s="425"/>
    </row>
    <row r="48">
      <c r="A48" s="425"/>
    </row>
    <row r="49">
      <c r="A49" s="425"/>
    </row>
    <row r="50">
      <c r="A50" s="425"/>
    </row>
    <row r="51">
      <c r="A51" s="425"/>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1">
    <mergeCell ref="C10:E10"/>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5.0"/>
    <col customWidth="1" min="2" max="2" width="19.0"/>
    <col customWidth="1" min="3" max="3" width="11.0"/>
    <col customWidth="1" min="4" max="4" width="12.0"/>
    <col customWidth="1" min="5" max="5" width="11.78"/>
    <col customWidth="1" min="6" max="10" width="11.0"/>
    <col customWidth="1" min="11" max="11" width="18.78"/>
    <col customWidth="1" min="12" max="19" width="11.0"/>
    <col customWidth="1" min="20" max="20" width="19.44"/>
    <col customWidth="1" min="21" max="26" width="11.0"/>
  </cols>
  <sheetData>
    <row r="1" ht="30.0" customHeight="1">
      <c r="A1" s="116" t="s">
        <v>65</v>
      </c>
      <c r="B1" s="2"/>
      <c r="C1" s="2"/>
      <c r="D1" s="2"/>
    </row>
    <row r="2">
      <c r="A2" s="116" t="s">
        <v>583</v>
      </c>
      <c r="B2" s="2"/>
      <c r="C2" s="2"/>
      <c r="D2" s="2"/>
    </row>
    <row r="3">
      <c r="A3" s="425" t="s">
        <v>584</v>
      </c>
    </row>
    <row r="4" ht="54.0" customHeight="1">
      <c r="A4" s="425" t="s">
        <v>585</v>
      </c>
    </row>
    <row r="5" ht="101.25" customHeight="1">
      <c r="A5" s="425" t="s">
        <v>586</v>
      </c>
    </row>
    <row r="6" ht="95.25" customHeight="1">
      <c r="A6" s="425" t="s">
        <v>587</v>
      </c>
    </row>
    <row r="7">
      <c r="A7" s="425" t="s">
        <v>588</v>
      </c>
    </row>
    <row r="8">
      <c r="A8" s="425"/>
    </row>
    <row r="9">
      <c r="A9" s="634" t="s">
        <v>589</v>
      </c>
    </row>
    <row r="10">
      <c r="A10" s="233" t="s">
        <v>590</v>
      </c>
      <c r="B10" s="796" t="s">
        <v>591</v>
      </c>
      <c r="C10" s="797" t="s">
        <v>592</v>
      </c>
      <c r="D10" s="798" t="s">
        <v>593</v>
      </c>
      <c r="E10" s="796" t="s">
        <v>594</v>
      </c>
      <c r="F10" s="797" t="s">
        <v>595</v>
      </c>
      <c r="G10" s="798" t="s">
        <v>596</v>
      </c>
      <c r="H10" s="796" t="s">
        <v>597</v>
      </c>
      <c r="I10" s="797" t="s">
        <v>598</v>
      </c>
      <c r="J10" s="798" t="s">
        <v>599</v>
      </c>
    </row>
    <row r="11">
      <c r="A11" s="799" t="s">
        <v>600</v>
      </c>
      <c r="B11" s="800">
        <v>28.0</v>
      </c>
      <c r="C11" s="801">
        <v>34.0</v>
      </c>
      <c r="D11" s="802">
        <v>37.0</v>
      </c>
      <c r="E11" s="800">
        <v>26.0</v>
      </c>
      <c r="F11" s="801">
        <v>30.0</v>
      </c>
      <c r="G11" s="802">
        <v>33.0</v>
      </c>
      <c r="H11" s="800">
        <v>32.0</v>
      </c>
      <c r="I11" s="801">
        <v>33.0</v>
      </c>
      <c r="J11" s="802">
        <v>34.0</v>
      </c>
      <c r="K11" s="98" t="s">
        <v>601</v>
      </c>
    </row>
    <row r="12">
      <c r="A12" s="799" t="s">
        <v>602</v>
      </c>
      <c r="B12" s="803">
        <v>14.0</v>
      </c>
      <c r="C12" s="804">
        <v>16.0</v>
      </c>
      <c r="D12" s="805">
        <v>18.0</v>
      </c>
      <c r="E12" s="803">
        <v>13.0</v>
      </c>
      <c r="F12" s="806">
        <v>15.0</v>
      </c>
      <c r="G12" s="805">
        <v>16.0</v>
      </c>
      <c r="H12" s="803">
        <v>14.0</v>
      </c>
      <c r="I12" s="806">
        <v>15.0</v>
      </c>
      <c r="J12" s="805">
        <v>17.0</v>
      </c>
      <c r="K12" s="98" t="s">
        <v>603</v>
      </c>
    </row>
    <row r="13">
      <c r="A13" s="237"/>
      <c r="B13" s="807"/>
      <c r="C13" s="783"/>
      <c r="D13" s="807"/>
    </row>
    <row r="14">
      <c r="A14" s="233" t="s">
        <v>604</v>
      </c>
      <c r="B14" s="777" t="s">
        <v>30</v>
      </c>
      <c r="E14" s="777" t="s">
        <v>31</v>
      </c>
      <c r="H14" s="777" t="s">
        <v>32</v>
      </c>
    </row>
    <row r="15">
      <c r="A15" s="799" t="s">
        <v>605</v>
      </c>
      <c r="B15" s="808">
        <v>18.0</v>
      </c>
      <c r="E15" s="801">
        <v>31.0</v>
      </c>
      <c r="H15" s="801">
        <v>11.0</v>
      </c>
      <c r="K15" s="98" t="s">
        <v>606</v>
      </c>
    </row>
    <row r="16">
      <c r="A16" s="799" t="s">
        <v>607</v>
      </c>
      <c r="B16" s="809">
        <v>0.08</v>
      </c>
      <c r="E16" s="779">
        <v>0.18</v>
      </c>
      <c r="H16" s="779">
        <v>0.12</v>
      </c>
    </row>
    <row r="17">
      <c r="A17" s="425"/>
      <c r="B17" s="330"/>
      <c r="C17" s="330"/>
      <c r="D17" s="330"/>
    </row>
    <row r="18">
      <c r="A18" s="90" t="s">
        <v>608</v>
      </c>
      <c r="B18" s="810" t="s">
        <v>5</v>
      </c>
      <c r="C18" s="811" t="s">
        <v>6</v>
      </c>
      <c r="D18" s="812" t="s">
        <v>7</v>
      </c>
    </row>
    <row r="19">
      <c r="A19" s="487" t="s">
        <v>609</v>
      </c>
      <c r="B19" s="813">
        <v>0.1</v>
      </c>
      <c r="C19" s="814">
        <v>0.3</v>
      </c>
      <c r="D19" s="815">
        <v>0.5</v>
      </c>
      <c r="E19" s="98" t="s">
        <v>233</v>
      </c>
    </row>
    <row r="20">
      <c r="A20" s="425"/>
      <c r="B20" s="432"/>
      <c r="C20" s="432"/>
      <c r="D20" s="432"/>
    </row>
    <row r="21">
      <c r="A21" s="233" t="s">
        <v>611</v>
      </c>
      <c r="B21" s="817" t="s">
        <v>30</v>
      </c>
      <c r="C21" s="818"/>
      <c r="D21" s="819"/>
      <c r="E21" s="820" t="s">
        <v>31</v>
      </c>
      <c r="F21" s="4"/>
      <c r="G21" s="508"/>
      <c r="H21" s="14" t="s">
        <v>32</v>
      </c>
      <c r="I21" s="4"/>
      <c r="J21" s="5"/>
    </row>
    <row r="22">
      <c r="A22" s="586" t="s">
        <v>614</v>
      </c>
      <c r="B22" s="821">
        <f>propHomesGasHeating</f>
        <v>0.8357316177</v>
      </c>
      <c r="C22" s="124"/>
      <c r="D22" s="258"/>
      <c r="E22" s="821">
        <f>propHomesOilHeating</f>
        <v>0.05340942457</v>
      </c>
      <c r="F22" s="124"/>
      <c r="G22" s="258"/>
      <c r="H22" s="821">
        <f>propHomesStorageHeaters+propHomesOtherElectricHeaters</f>
        <v>0.07624237402</v>
      </c>
      <c r="I22" s="124"/>
      <c r="J22" s="258"/>
    </row>
    <row r="23">
      <c r="A23" s="822"/>
      <c r="B23" s="823" t="s">
        <v>5</v>
      </c>
      <c r="C23" s="79" t="s">
        <v>6</v>
      </c>
      <c r="D23" s="824" t="s">
        <v>7</v>
      </c>
      <c r="E23" s="823" t="s">
        <v>5</v>
      </c>
      <c r="F23" s="79" t="s">
        <v>6</v>
      </c>
      <c r="G23" s="824" t="s">
        <v>7</v>
      </c>
      <c r="H23" s="823" t="s">
        <v>5</v>
      </c>
      <c r="I23" s="79" t="s">
        <v>6</v>
      </c>
      <c r="J23" s="824" t="s">
        <v>7</v>
      </c>
    </row>
    <row r="24">
      <c r="A24" s="635" t="s">
        <v>620</v>
      </c>
      <c r="B24" s="387">
        <f t="shared" ref="B24:D24" si="1">B11*$B15*$B16*B19</f>
        <v>4.032</v>
      </c>
      <c r="C24" s="388">
        <f t="shared" si="1"/>
        <v>14.688</v>
      </c>
      <c r="D24" s="391">
        <f t="shared" si="1"/>
        <v>26.64</v>
      </c>
      <c r="E24" s="387">
        <f t="shared" ref="E24:G24" si="2">E11*$E15*$E16*B19</f>
        <v>14.508</v>
      </c>
      <c r="F24" s="388">
        <f t="shared" si="2"/>
        <v>50.22</v>
      </c>
      <c r="G24" s="391">
        <f t="shared" si="2"/>
        <v>92.07</v>
      </c>
      <c r="H24" s="387">
        <f t="shared" ref="H24:J24" si="3">H11*$H15*$H16*B19</f>
        <v>4.224</v>
      </c>
      <c r="I24" s="388">
        <f t="shared" si="3"/>
        <v>13.068</v>
      </c>
      <c r="J24" s="391">
        <f t="shared" si="3"/>
        <v>22.44</v>
      </c>
      <c r="K24" s="98" t="s">
        <v>114</v>
      </c>
    </row>
    <row r="25">
      <c r="A25" s="799" t="s">
        <v>625</v>
      </c>
      <c r="B25" s="387">
        <f t="shared" ref="B25:D25" si="4">B12*$B15*(1-$B16)*B19</f>
        <v>23.184</v>
      </c>
      <c r="C25" s="388">
        <f t="shared" si="4"/>
        <v>79.488</v>
      </c>
      <c r="D25" s="391">
        <f t="shared" si="4"/>
        <v>149.04</v>
      </c>
      <c r="E25" s="387">
        <f t="shared" ref="E25:G25" si="5">E12*$E15*(1-$E16)*B19</f>
        <v>33.046</v>
      </c>
      <c r="F25" s="388">
        <f t="shared" si="5"/>
        <v>114.39</v>
      </c>
      <c r="G25" s="391">
        <f t="shared" si="5"/>
        <v>203.36</v>
      </c>
      <c r="H25" s="387">
        <f t="shared" ref="H25:J25" si="6">H12*$H15*(1-$H16)*B19</f>
        <v>13.552</v>
      </c>
      <c r="I25" s="388">
        <f t="shared" si="6"/>
        <v>43.56</v>
      </c>
      <c r="J25" s="391">
        <f t="shared" si="6"/>
        <v>82.28</v>
      </c>
      <c r="K25" s="98" t="s">
        <v>114</v>
      </c>
    </row>
    <row r="26">
      <c r="A26" s="799" t="s">
        <v>628</v>
      </c>
      <c r="B26" s="387">
        <f t="shared" ref="B26:J26" si="7">B24+B25</f>
        <v>27.216</v>
      </c>
      <c r="C26" s="388">
        <f t="shared" si="7"/>
        <v>94.176</v>
      </c>
      <c r="D26" s="391">
        <f t="shared" si="7"/>
        <v>175.68</v>
      </c>
      <c r="E26" s="387">
        <f t="shared" si="7"/>
        <v>47.554</v>
      </c>
      <c r="F26" s="388">
        <f t="shared" si="7"/>
        <v>164.61</v>
      </c>
      <c r="G26" s="391">
        <f t="shared" si="7"/>
        <v>295.43</v>
      </c>
      <c r="H26" s="387">
        <f t="shared" si="7"/>
        <v>17.776</v>
      </c>
      <c r="I26" s="388">
        <f t="shared" si="7"/>
        <v>56.628</v>
      </c>
      <c r="J26" s="391">
        <f t="shared" si="7"/>
        <v>104.72</v>
      </c>
      <c r="K26" s="98" t="s">
        <v>114</v>
      </c>
    </row>
    <row r="27">
      <c r="A27" s="799" t="s">
        <v>630</v>
      </c>
      <c r="B27" s="406">
        <f>B26*gasPricePerkWh/100</f>
        <v>2.1691152</v>
      </c>
      <c r="C27" s="409">
        <f>C26*gasPricePerkWh/100</f>
        <v>7.5058272</v>
      </c>
      <c r="D27" s="410">
        <f>D26*gasPricePerkWh/100</f>
        <v>14.001696</v>
      </c>
      <c r="E27" s="406">
        <f>E26*oilPriceP/100</f>
        <v>4.594589372</v>
      </c>
      <c r="F27" s="409">
        <f>F26*oilPriceP/100</f>
        <v>15.90434783</v>
      </c>
      <c r="G27" s="410">
        <f>G26*oilPriceP/100</f>
        <v>28.54396135</v>
      </c>
      <c r="H27" s="406">
        <f>H26*OffPeakTariff/100</f>
        <v>2.6664</v>
      </c>
      <c r="I27" s="409">
        <f>I26*OffPeakTariff/100</f>
        <v>8.4942</v>
      </c>
      <c r="J27" s="410">
        <f>J26*OffPeakTariff/100</f>
        <v>15.708</v>
      </c>
      <c r="K27" s="118" t="s">
        <v>175</v>
      </c>
    </row>
    <row r="28">
      <c r="A28" s="237"/>
      <c r="B28" s="848"/>
      <c r="C28" s="848"/>
      <c r="D28" s="848"/>
      <c r="E28" s="663"/>
      <c r="F28" s="524"/>
      <c r="G28" s="524"/>
      <c r="H28" s="524"/>
      <c r="I28" s="524"/>
      <c r="J28" s="524"/>
    </row>
    <row r="29">
      <c r="A29" s="118"/>
      <c r="B29" s="849"/>
      <c r="C29" s="849"/>
      <c r="D29" s="849"/>
    </row>
    <row r="30">
      <c r="A30" s="90" t="s">
        <v>215</v>
      </c>
      <c r="B30" s="850" t="s">
        <v>5</v>
      </c>
      <c r="C30" s="502" t="s">
        <v>6</v>
      </c>
      <c r="D30" s="503" t="s">
        <v>7</v>
      </c>
    </row>
    <row r="31">
      <c r="A31" s="635" t="s">
        <v>632</v>
      </c>
      <c r="B31" s="813">
        <v>0.4</v>
      </c>
      <c r="C31" s="814">
        <v>0.5</v>
      </c>
      <c r="D31" s="815">
        <v>0.6</v>
      </c>
      <c r="E31" s="98" t="s">
        <v>633</v>
      </c>
    </row>
    <row r="32">
      <c r="A32" s="425"/>
      <c r="B32" s="27"/>
      <c r="C32" s="27"/>
      <c r="D32" s="27"/>
    </row>
    <row r="33">
      <c r="A33" s="118"/>
      <c r="B33" s="27"/>
      <c r="C33" s="27"/>
      <c r="D33" s="27"/>
    </row>
    <row r="34">
      <c r="A34" s="116" t="s">
        <v>16</v>
      </c>
      <c r="B34" s="465" t="s">
        <v>11</v>
      </c>
      <c r="C34" s="9"/>
      <c r="D34" s="9"/>
      <c r="E34" s="9"/>
      <c r="F34" s="9"/>
      <c r="G34" s="9"/>
      <c r="H34" s="9"/>
      <c r="I34" s="9"/>
      <c r="J34" s="10"/>
      <c r="K34" s="465" t="s">
        <v>256</v>
      </c>
      <c r="L34" s="9"/>
      <c r="M34" s="9"/>
      <c r="N34" s="9"/>
      <c r="O34" s="9"/>
      <c r="P34" s="9"/>
      <c r="Q34" s="9"/>
      <c r="R34" s="9"/>
      <c r="S34" s="10"/>
      <c r="T34" s="467" t="s">
        <v>257</v>
      </c>
    </row>
    <row r="35">
      <c r="A35" s="326"/>
      <c r="B35" s="75" t="s">
        <v>30</v>
      </c>
      <c r="C35" s="811"/>
      <c r="D35" s="812"/>
      <c r="E35" s="75" t="s">
        <v>31</v>
      </c>
      <c r="F35" s="811"/>
      <c r="G35" s="812"/>
      <c r="H35" s="851" t="s">
        <v>32</v>
      </c>
      <c r="I35" s="852"/>
      <c r="J35" s="853"/>
      <c r="K35" s="75" t="s">
        <v>30</v>
      </c>
      <c r="L35" s="811"/>
      <c r="M35" s="812"/>
      <c r="N35" s="75" t="s">
        <v>31</v>
      </c>
      <c r="O35" s="811"/>
      <c r="P35" s="812"/>
      <c r="Q35" s="851" t="s">
        <v>32</v>
      </c>
      <c r="R35" s="852"/>
      <c r="S35" s="853"/>
      <c r="T35" s="679"/>
    </row>
    <row r="36">
      <c r="A36" s="473"/>
      <c r="B36" s="74" t="s">
        <v>5</v>
      </c>
      <c r="C36" s="69" t="s">
        <v>6</v>
      </c>
      <c r="D36" s="70" t="s">
        <v>7</v>
      </c>
      <c r="E36" s="74" t="s">
        <v>5</v>
      </c>
      <c r="F36" s="69" t="s">
        <v>6</v>
      </c>
      <c r="G36" s="70" t="s">
        <v>7</v>
      </c>
      <c r="H36" s="74" t="s">
        <v>5</v>
      </c>
      <c r="I36" s="69" t="s">
        <v>6</v>
      </c>
      <c r="J36" s="70" t="s">
        <v>7</v>
      </c>
      <c r="K36" s="74" t="s">
        <v>5</v>
      </c>
      <c r="L36" s="69" t="s">
        <v>6</v>
      </c>
      <c r="M36" s="70" t="s">
        <v>7</v>
      </c>
      <c r="N36" s="74" t="s">
        <v>5</v>
      </c>
      <c r="O36" s="69" t="s">
        <v>6</v>
      </c>
      <c r="P36" s="70" t="s">
        <v>7</v>
      </c>
      <c r="Q36" s="74" t="s">
        <v>5</v>
      </c>
      <c r="R36" s="69" t="s">
        <v>6</v>
      </c>
      <c r="S36" s="70" t="s">
        <v>7</v>
      </c>
      <c r="T36" s="679"/>
    </row>
    <row r="37">
      <c r="A37" s="326" t="s">
        <v>65</v>
      </c>
      <c r="B37" s="403">
        <f t="shared" ref="B37:J37" si="8">B26</f>
        <v>27.216</v>
      </c>
      <c r="C37" s="405">
        <f t="shared" si="8"/>
        <v>94.176</v>
      </c>
      <c r="D37" s="572">
        <f t="shared" si="8"/>
        <v>175.68</v>
      </c>
      <c r="E37" s="711">
        <f t="shared" si="8"/>
        <v>47.554</v>
      </c>
      <c r="F37" s="712">
        <f t="shared" si="8"/>
        <v>164.61</v>
      </c>
      <c r="G37" s="713">
        <f t="shared" si="8"/>
        <v>295.43</v>
      </c>
      <c r="H37" s="406">
        <f t="shared" si="8"/>
        <v>17.776</v>
      </c>
      <c r="I37" s="409">
        <f t="shared" si="8"/>
        <v>56.628</v>
      </c>
      <c r="J37" s="410">
        <f t="shared" si="8"/>
        <v>104.72</v>
      </c>
      <c r="K37" s="403">
        <f>numberDwellingsUK*propHomesGasHeating*B31/1000</f>
        <v>10246.67136</v>
      </c>
      <c r="L37" s="405">
        <f>numberDwellingsUK*propHomesGasHeating*C31/1000</f>
        <v>12808.3392</v>
      </c>
      <c r="M37" s="572">
        <f>numberDwellingsUK*propHomesGasHeating*D31/1000</f>
        <v>15370.00704</v>
      </c>
      <c r="N37" s="403">
        <f>numberDwellingsUK*propHomesOilHeating*B31/1000</f>
        <v>654.838</v>
      </c>
      <c r="O37" s="405">
        <f>numberDwellingsUK*propHomesOilHeating*C31/1000</f>
        <v>818.5475</v>
      </c>
      <c r="P37" s="572">
        <f>numberDwellingsUK*propHomesOilHeating*D31/1000</f>
        <v>982.257</v>
      </c>
      <c r="Q37" s="403">
        <f>numberDwellingsUK*(propHomesStorageHeaters+propHomesOtherElectricHeaters)*B31/1000</f>
        <v>934.7864</v>
      </c>
      <c r="R37" s="405">
        <f>numberDwellingsUK*(propHomesStorageHeaters+propHomesOtherElectricHeaters)*C31/1000</f>
        <v>1168.483</v>
      </c>
      <c r="S37" s="572">
        <f>numberDwellingsUK*(propHomesStorageHeaters+propHomesOtherElectricHeaters)*D31/1000</f>
        <v>1402.1796</v>
      </c>
      <c r="T37" s="372" t="s">
        <v>262</v>
      </c>
    </row>
    <row r="38">
      <c r="A38" s="118"/>
      <c r="B38" s="27"/>
      <c r="C38" s="27"/>
      <c r="D38" s="27"/>
    </row>
    <row r="39">
      <c r="A39" s="118" t="s">
        <v>635</v>
      </c>
      <c r="B39" s="27"/>
      <c r="C39" s="27"/>
      <c r="D39" s="27"/>
    </row>
    <row r="40">
      <c r="A40" s="90" t="s">
        <v>636</v>
      </c>
      <c r="B40" s="2">
        <v>0.08</v>
      </c>
      <c r="C40" s="2"/>
      <c r="D40" s="2"/>
      <c r="E40" s="2"/>
      <c r="F40" s="2"/>
      <c r="G40" s="2"/>
    </row>
    <row r="41">
      <c r="A41" s="425" t="s">
        <v>637</v>
      </c>
      <c r="B41" s="2"/>
      <c r="C41" s="860" t="s">
        <v>638</v>
      </c>
      <c r="D41" s="860" t="s">
        <v>639</v>
      </c>
      <c r="E41" s="860" t="s">
        <v>640</v>
      </c>
      <c r="F41" s="861" t="s">
        <v>641</v>
      </c>
      <c r="G41" s="860" t="s">
        <v>642</v>
      </c>
    </row>
    <row r="42">
      <c r="A42" s="425"/>
      <c r="B42" s="73" t="s">
        <v>643</v>
      </c>
      <c r="C42" s="862">
        <v>2.0</v>
      </c>
      <c r="D42" s="863">
        <f t="shared" ref="D42:D44" si="9">1/C42</f>
        <v>0.5</v>
      </c>
      <c r="E42" s="863">
        <f t="shared" ref="E42:E44" si="10">D42+$B$40</f>
        <v>0.58</v>
      </c>
      <c r="F42" s="865">
        <f t="shared" ref="F42:F44" si="11">1/E42</f>
        <v>1.724137931</v>
      </c>
      <c r="G42" s="866">
        <f t="shared" ref="G42:G44" si="12">1-F42/C42</f>
        <v>0.1379310345</v>
      </c>
    </row>
    <row r="43">
      <c r="A43" s="425"/>
      <c r="B43" s="73" t="s">
        <v>648</v>
      </c>
      <c r="C43" s="863">
        <v>4.6</v>
      </c>
      <c r="D43" s="865">
        <f t="shared" si="9"/>
        <v>0.2173913043</v>
      </c>
      <c r="E43" s="865">
        <f t="shared" si="10"/>
        <v>0.2973913043</v>
      </c>
      <c r="F43" s="865">
        <f t="shared" si="11"/>
        <v>3.362573099</v>
      </c>
      <c r="G43" s="866">
        <f t="shared" si="12"/>
        <v>0.269005848</v>
      </c>
    </row>
    <row r="44">
      <c r="A44" s="425"/>
      <c r="B44" s="73" t="s">
        <v>649</v>
      </c>
      <c r="C44" s="863">
        <v>2.8</v>
      </c>
      <c r="D44" s="865">
        <f t="shared" si="9"/>
        <v>0.3571428571</v>
      </c>
      <c r="E44" s="865">
        <f t="shared" si="10"/>
        <v>0.4371428571</v>
      </c>
      <c r="F44" s="865">
        <f t="shared" si="11"/>
        <v>2.287581699</v>
      </c>
      <c r="G44" s="866">
        <f t="shared" si="12"/>
        <v>0.1830065359</v>
      </c>
    </row>
    <row r="45">
      <c r="A45" s="118"/>
      <c r="B45" s="27"/>
      <c r="C45" s="27"/>
      <c r="D45" s="27"/>
    </row>
    <row r="46">
      <c r="A46" s="118"/>
    </row>
    <row r="47">
      <c r="A47" s="867" t="s">
        <v>651</v>
      </c>
      <c r="B47" s="868"/>
      <c r="C47" s="868"/>
      <c r="D47" s="868"/>
      <c r="E47" s="868"/>
      <c r="F47" s="868"/>
      <c r="G47" s="7"/>
    </row>
    <row r="48">
      <c r="A48" s="869" t="s">
        <v>652</v>
      </c>
      <c r="B48" s="870" t="s">
        <v>653</v>
      </c>
      <c r="C48" s="870"/>
      <c r="D48" s="870"/>
      <c r="E48" s="870"/>
      <c r="F48" s="870"/>
      <c r="G48" s="7"/>
    </row>
    <row r="49">
      <c r="A49" s="871"/>
      <c r="B49" s="872"/>
      <c r="C49" s="873" t="s">
        <v>638</v>
      </c>
      <c r="D49" s="873" t="s">
        <v>654</v>
      </c>
      <c r="E49" s="874" t="s">
        <v>655</v>
      </c>
      <c r="F49" s="875" t="s">
        <v>656</v>
      </c>
      <c r="G49" s="7"/>
    </row>
    <row r="50">
      <c r="A50" s="871" t="s">
        <v>657</v>
      </c>
      <c r="B50" s="876" t="s">
        <v>631</v>
      </c>
      <c r="C50" s="877">
        <v>5.2</v>
      </c>
      <c r="D50" s="879">
        <f t="shared" ref="D50:D51" si="13">1/C50</f>
        <v>0.1923076923</v>
      </c>
      <c r="E50" s="879"/>
      <c r="F50" s="880"/>
      <c r="G50" s="7"/>
    </row>
    <row r="51">
      <c r="A51" s="871"/>
      <c r="B51" s="881" t="s">
        <v>658</v>
      </c>
      <c r="C51" s="877">
        <v>3.0</v>
      </c>
      <c r="D51" s="879">
        <f t="shared" si="13"/>
        <v>0.3333333333</v>
      </c>
      <c r="E51" s="879">
        <f>D51-D50</f>
        <v>0.141025641</v>
      </c>
      <c r="F51" s="882">
        <f>1-$C$51/C50</f>
        <v>0.4230769231</v>
      </c>
      <c r="G51" s="7"/>
    </row>
    <row r="52">
      <c r="A52" s="871"/>
      <c r="B52" s="876"/>
      <c r="C52" s="877"/>
      <c r="D52" s="879"/>
      <c r="E52" s="879"/>
      <c r="F52" s="882"/>
      <c r="G52" s="7"/>
    </row>
    <row r="53">
      <c r="A53" s="871" t="s">
        <v>659</v>
      </c>
      <c r="B53" s="876" t="s">
        <v>649</v>
      </c>
      <c r="C53" s="877">
        <v>2.8</v>
      </c>
      <c r="D53" s="879">
        <f t="shared" ref="D53:D56" si="14">1/C53</f>
        <v>0.3571428571</v>
      </c>
      <c r="E53" s="879"/>
      <c r="F53" s="882"/>
      <c r="G53" s="7"/>
    </row>
    <row r="54">
      <c r="A54" s="871"/>
      <c r="B54" s="881" t="s">
        <v>658</v>
      </c>
      <c r="C54" s="877">
        <v>1.9</v>
      </c>
      <c r="D54" s="879">
        <f t="shared" si="14"/>
        <v>0.5263157895</v>
      </c>
      <c r="E54" s="879">
        <f t="shared" ref="E54:E56" si="15">D54-D$53</f>
        <v>0.1691729323</v>
      </c>
      <c r="F54" s="882">
        <f t="shared" ref="F54:F56" si="16">1-(C54/$C$53)</f>
        <v>0.3214285714</v>
      </c>
      <c r="G54" s="7"/>
    </row>
    <row r="55">
      <c r="A55" s="871"/>
      <c r="B55" s="883" t="s">
        <v>660</v>
      </c>
      <c r="C55" s="877">
        <v>1.8</v>
      </c>
      <c r="D55" s="879">
        <f t="shared" si="14"/>
        <v>0.5555555556</v>
      </c>
      <c r="E55" s="879">
        <f t="shared" si="15"/>
        <v>0.1984126984</v>
      </c>
      <c r="F55" s="882">
        <f t="shared" si="16"/>
        <v>0.3571428571</v>
      </c>
      <c r="G55" s="7"/>
    </row>
    <row r="56">
      <c r="A56" s="871"/>
      <c r="B56" s="884" t="s">
        <v>661</v>
      </c>
      <c r="C56" s="885">
        <v>2.2</v>
      </c>
      <c r="D56" s="886">
        <f t="shared" si="14"/>
        <v>0.4545454545</v>
      </c>
      <c r="E56" s="886">
        <f t="shared" si="15"/>
        <v>0.0974025974</v>
      </c>
      <c r="F56" s="887">
        <f t="shared" si="16"/>
        <v>0.2142857143</v>
      </c>
      <c r="G56" s="7"/>
    </row>
    <row r="57">
      <c r="A57" s="871"/>
      <c r="B57" s="868"/>
      <c r="C57" s="868"/>
      <c r="D57" s="868"/>
      <c r="E57" s="868"/>
      <c r="F57" s="868"/>
      <c r="G57" s="7"/>
    </row>
    <row r="58">
      <c r="A58" s="869" t="s">
        <v>662</v>
      </c>
      <c r="B58" s="872" t="s">
        <v>663</v>
      </c>
      <c r="C58" s="873" t="s">
        <v>565</v>
      </c>
      <c r="D58" s="873" t="s">
        <v>664</v>
      </c>
      <c r="E58" s="873" t="s">
        <v>665</v>
      </c>
      <c r="F58" s="875" t="s">
        <v>639</v>
      </c>
      <c r="G58" s="7"/>
    </row>
    <row r="59">
      <c r="A59" s="888" t="s">
        <v>666</v>
      </c>
      <c r="B59" s="889" t="s">
        <v>667</v>
      </c>
      <c r="C59" s="877">
        <v>27.8</v>
      </c>
      <c r="D59" s="890">
        <v>5.1</v>
      </c>
      <c r="E59" s="890">
        <f t="shared" ref="E59:E63" si="17">D59*(1-C59/100)</f>
        <v>3.6822</v>
      </c>
      <c r="F59" s="892">
        <f t="shared" ref="F59:F63" si="18">1/E59-1/D59</f>
        <v>0.07549834338</v>
      </c>
      <c r="G59" s="7"/>
    </row>
    <row r="60">
      <c r="A60" s="888" t="s">
        <v>668</v>
      </c>
      <c r="B60" s="889" t="s">
        <v>669</v>
      </c>
      <c r="C60" s="877">
        <v>12.3</v>
      </c>
      <c r="D60" s="890">
        <v>4.32</v>
      </c>
      <c r="E60" s="890">
        <f t="shared" si="17"/>
        <v>3.78864</v>
      </c>
      <c r="F60" s="892">
        <f t="shared" si="18"/>
        <v>0.03246547574</v>
      </c>
      <c r="G60" s="7"/>
    </row>
    <row r="61">
      <c r="A61" s="888" t="s">
        <v>670</v>
      </c>
      <c r="B61" s="889" t="s">
        <v>671</v>
      </c>
      <c r="C61" s="877">
        <v>4.9</v>
      </c>
      <c r="D61" s="890">
        <v>4.5</v>
      </c>
      <c r="E61" s="890">
        <f t="shared" si="17"/>
        <v>4.2795</v>
      </c>
      <c r="F61" s="892">
        <f t="shared" si="18"/>
        <v>0.01144993574</v>
      </c>
      <c r="G61" s="7"/>
    </row>
    <row r="62">
      <c r="A62" s="888" t="s">
        <v>672</v>
      </c>
      <c r="B62" s="889" t="s">
        <v>671</v>
      </c>
      <c r="C62" s="877">
        <v>10.3</v>
      </c>
      <c r="D62" s="890">
        <v>4.45</v>
      </c>
      <c r="E62" s="890">
        <f t="shared" si="17"/>
        <v>3.99165</v>
      </c>
      <c r="F62" s="892">
        <f t="shared" si="18"/>
        <v>0.02580386557</v>
      </c>
      <c r="G62" s="7"/>
    </row>
    <row r="63">
      <c r="A63" s="888" t="s">
        <v>673</v>
      </c>
      <c r="B63" s="895" t="s">
        <v>674</v>
      </c>
      <c r="C63" s="885">
        <v>29.1</v>
      </c>
      <c r="D63" s="896">
        <v>4.43</v>
      </c>
      <c r="E63" s="896">
        <f t="shared" si="17"/>
        <v>3.14087</v>
      </c>
      <c r="F63" s="897">
        <f t="shared" si="18"/>
        <v>0.09264948884</v>
      </c>
      <c r="G63" s="7"/>
    </row>
    <row r="64">
      <c r="A64" s="898"/>
      <c r="B64" s="7"/>
      <c r="C64" s="7"/>
      <c r="D64" s="7"/>
      <c r="E64" s="7"/>
      <c r="F64" s="7"/>
      <c r="G64" s="7"/>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2">
    <mergeCell ref="B34:J34"/>
    <mergeCell ref="K34:S34"/>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62.78"/>
    <col customWidth="1" min="2" max="2" width="15.44"/>
    <col customWidth="1" min="3" max="5" width="10.44"/>
    <col customWidth="1" min="6" max="6" width="10.78"/>
    <col customWidth="1" min="7" max="10" width="10.44"/>
    <col customWidth="1" min="11" max="11" width="12.33"/>
    <col customWidth="1" min="12" max="19" width="10.44"/>
    <col customWidth="1" min="20" max="20" width="19.0"/>
    <col customWidth="1" min="21" max="26" width="10.44"/>
  </cols>
  <sheetData>
    <row r="1" ht="30.0" customHeight="1">
      <c r="A1" s="816" t="s">
        <v>610</v>
      </c>
      <c r="B1" s="816"/>
      <c r="C1" s="2"/>
      <c r="D1" s="2"/>
      <c r="E1" s="2"/>
      <c r="F1" s="524"/>
    </row>
    <row r="2" ht="30.0" customHeight="1">
      <c r="A2" s="816" t="s">
        <v>612</v>
      </c>
      <c r="B2" s="816"/>
      <c r="C2" s="2"/>
      <c r="D2" s="2"/>
      <c r="E2" s="2"/>
      <c r="F2" s="524"/>
    </row>
    <row r="3" ht="60.75" customHeight="1">
      <c r="A3" s="237" t="s">
        <v>613</v>
      </c>
      <c r="B3" s="237"/>
      <c r="F3" s="524"/>
    </row>
    <row r="4">
      <c r="A4" s="237" t="s">
        <v>615</v>
      </c>
      <c r="B4" s="237"/>
      <c r="F4" s="524"/>
    </row>
    <row r="5">
      <c r="A5" s="237"/>
      <c r="B5" s="237"/>
      <c r="F5" s="524"/>
    </row>
    <row r="6">
      <c r="A6" s="237" t="s">
        <v>616</v>
      </c>
      <c r="B6" s="237"/>
      <c r="F6" s="524"/>
    </row>
    <row r="7" ht="159.0" customHeight="1">
      <c r="A7" s="237" t="s">
        <v>617</v>
      </c>
      <c r="B7" s="237"/>
      <c r="F7" s="524"/>
    </row>
    <row r="8">
      <c r="A8" s="237"/>
      <c r="B8" s="237"/>
      <c r="F8" s="524"/>
    </row>
    <row r="9">
      <c r="A9" s="634" t="s">
        <v>618</v>
      </c>
    </row>
    <row r="10">
      <c r="A10" s="233" t="s">
        <v>590</v>
      </c>
      <c r="B10" s="796" t="s">
        <v>591</v>
      </c>
      <c r="C10" s="797" t="s">
        <v>592</v>
      </c>
      <c r="D10" s="798" t="s">
        <v>593</v>
      </c>
      <c r="E10" s="796" t="s">
        <v>594</v>
      </c>
      <c r="F10" s="797" t="s">
        <v>595</v>
      </c>
      <c r="G10" s="798" t="s">
        <v>596</v>
      </c>
      <c r="H10" s="796" t="s">
        <v>597</v>
      </c>
      <c r="I10" s="797" t="s">
        <v>598</v>
      </c>
      <c r="J10" s="798" t="s">
        <v>599</v>
      </c>
    </row>
    <row r="11">
      <c r="A11" s="799" t="s">
        <v>619</v>
      </c>
      <c r="B11" s="800">
        <v>38.0</v>
      </c>
      <c r="C11" s="801">
        <v>50.0</v>
      </c>
      <c r="D11" s="802">
        <v>52.0</v>
      </c>
      <c r="E11" s="801">
        <v>35.0</v>
      </c>
      <c r="F11" s="801">
        <v>42.0</v>
      </c>
      <c r="G11" s="802">
        <v>45.0</v>
      </c>
      <c r="H11" s="800">
        <v>36.0</v>
      </c>
      <c r="I11" s="801">
        <v>46.0</v>
      </c>
      <c r="J11" s="802">
        <v>48.0</v>
      </c>
      <c r="K11" s="98" t="s">
        <v>621</v>
      </c>
    </row>
    <row r="12">
      <c r="A12" s="799" t="s">
        <v>622</v>
      </c>
      <c r="B12" s="803">
        <v>18.0</v>
      </c>
      <c r="C12" s="806">
        <v>21.0</v>
      </c>
      <c r="D12" s="825">
        <v>23.0</v>
      </c>
      <c r="E12" s="806">
        <v>17.0</v>
      </c>
      <c r="F12" s="806">
        <v>19.0</v>
      </c>
      <c r="G12" s="805">
        <v>21.0</v>
      </c>
      <c r="H12" s="803">
        <v>18.0</v>
      </c>
      <c r="I12" s="806">
        <v>19.0</v>
      </c>
      <c r="J12" s="805">
        <v>22.0</v>
      </c>
      <c r="K12" s="98" t="s">
        <v>623</v>
      </c>
    </row>
    <row r="13">
      <c r="A13" s="237"/>
      <c r="B13" s="807"/>
      <c r="C13" s="807"/>
      <c r="D13" s="783"/>
    </row>
    <row r="14">
      <c r="A14" s="237"/>
      <c r="B14" s="807"/>
      <c r="C14" s="807"/>
      <c r="D14" s="783"/>
    </row>
    <row r="15">
      <c r="A15" s="826" t="s">
        <v>604</v>
      </c>
      <c r="B15" s="796" t="s">
        <v>30</v>
      </c>
      <c r="C15" s="797" t="s">
        <v>31</v>
      </c>
      <c r="D15" s="798" t="s">
        <v>32</v>
      </c>
    </row>
    <row r="16">
      <c r="A16" s="827" t="s">
        <v>605</v>
      </c>
      <c r="B16" s="828">
        <v>18.0</v>
      </c>
      <c r="C16" s="801">
        <v>31.0</v>
      </c>
      <c r="D16" s="802">
        <v>11.0</v>
      </c>
      <c r="E16" s="524" t="s">
        <v>624</v>
      </c>
    </row>
    <row r="17">
      <c r="A17" s="827" t="s">
        <v>607</v>
      </c>
      <c r="B17" s="829">
        <v>0.08</v>
      </c>
      <c r="C17" s="830">
        <v>0.18</v>
      </c>
      <c r="D17" s="831">
        <v>0.12</v>
      </c>
    </row>
    <row r="18">
      <c r="A18" s="237"/>
      <c r="B18" s="832"/>
      <c r="C18" s="524"/>
      <c r="D18" s="524"/>
      <c r="E18" s="524"/>
      <c r="F18" s="524"/>
    </row>
    <row r="19">
      <c r="A19" s="822" t="s">
        <v>626</v>
      </c>
      <c r="B19" s="833" t="s">
        <v>5</v>
      </c>
      <c r="C19" s="834" t="s">
        <v>6</v>
      </c>
      <c r="D19" s="835" t="s">
        <v>7</v>
      </c>
      <c r="E19" s="836"/>
      <c r="F19" s="836"/>
    </row>
    <row r="20">
      <c r="A20" s="799" t="s">
        <v>627</v>
      </c>
      <c r="B20" s="837">
        <v>0.7</v>
      </c>
      <c r="C20" s="838">
        <v>0.9</v>
      </c>
      <c r="D20" s="839">
        <v>1.1</v>
      </c>
      <c r="E20" s="524"/>
      <c r="F20" s="98" t="s">
        <v>233</v>
      </c>
    </row>
    <row r="21">
      <c r="A21" s="237"/>
      <c r="B21" s="840"/>
      <c r="E21" s="524"/>
      <c r="F21" s="524"/>
    </row>
    <row r="22">
      <c r="A22" s="233" t="s">
        <v>629</v>
      </c>
      <c r="B22" s="841" t="s">
        <v>30</v>
      </c>
      <c r="C22" s="842"/>
      <c r="D22" s="843"/>
      <c r="E22" s="842" t="s">
        <v>31</v>
      </c>
      <c r="F22" s="502"/>
      <c r="G22" s="324"/>
      <c r="H22" s="430" t="s">
        <v>32</v>
      </c>
      <c r="I22" s="502"/>
      <c r="J22" s="503"/>
    </row>
    <row r="23">
      <c r="A23" s="586" t="s">
        <v>177</v>
      </c>
      <c r="B23" s="844">
        <f>propHomesGasHeating</f>
        <v>0.8357316177</v>
      </c>
      <c r="C23" s="845"/>
      <c r="D23" s="471"/>
      <c r="E23" s="845">
        <f>propHomesOilHeating</f>
        <v>0.05340942457</v>
      </c>
      <c r="F23" s="845"/>
      <c r="G23" s="471"/>
      <c r="H23" s="844">
        <f>propHomesStorageHeaters+propHomesOtherElectricHeaters</f>
        <v>0.07624237402</v>
      </c>
      <c r="I23" s="720"/>
      <c r="J23" s="157"/>
    </row>
    <row r="24">
      <c r="A24" s="586"/>
      <c r="B24" s="846" t="s">
        <v>5</v>
      </c>
      <c r="C24" s="79" t="s">
        <v>6</v>
      </c>
      <c r="D24" s="824" t="s">
        <v>7</v>
      </c>
      <c r="E24" s="847" t="s">
        <v>5</v>
      </c>
      <c r="F24" s="79" t="s">
        <v>6</v>
      </c>
      <c r="G24" s="824" t="s">
        <v>7</v>
      </c>
      <c r="H24" s="846" t="s">
        <v>5</v>
      </c>
      <c r="I24" s="79" t="s">
        <v>6</v>
      </c>
      <c r="J24" s="824" t="s">
        <v>7</v>
      </c>
    </row>
    <row r="25">
      <c r="A25" s="635" t="s">
        <v>631</v>
      </c>
      <c r="B25" s="113">
        <f t="shared" ref="B25:D25" si="1">B11*$B$16*$B$17*B$20</f>
        <v>38.304</v>
      </c>
      <c r="C25" s="115">
        <f t="shared" si="1"/>
        <v>64.8</v>
      </c>
      <c r="D25" s="117">
        <f t="shared" si="1"/>
        <v>82.368</v>
      </c>
      <c r="E25" s="115">
        <f t="shared" ref="E25:G25" si="2">E11*$C$16*$C$17*B$20</f>
        <v>136.71</v>
      </c>
      <c r="F25" s="115">
        <f t="shared" si="2"/>
        <v>210.924</v>
      </c>
      <c r="G25" s="117">
        <f t="shared" si="2"/>
        <v>276.21</v>
      </c>
      <c r="H25" s="113">
        <f t="shared" ref="H25:J25" si="3">H11*$D$16*$D$17*B$20</f>
        <v>33.264</v>
      </c>
      <c r="I25" s="115">
        <f t="shared" si="3"/>
        <v>54.648</v>
      </c>
      <c r="J25" s="117">
        <f t="shared" si="3"/>
        <v>69.696</v>
      </c>
      <c r="K25" s="98" t="s">
        <v>114</v>
      </c>
    </row>
    <row r="26">
      <c r="A26" s="799" t="s">
        <v>634</v>
      </c>
      <c r="B26" s="113">
        <f t="shared" ref="B26:D26" si="4">B12*$B$16*(1-$B$17)*B$20</f>
        <v>208.656</v>
      </c>
      <c r="C26" s="115">
        <f t="shared" si="4"/>
        <v>312.984</v>
      </c>
      <c r="D26" s="117">
        <f t="shared" si="4"/>
        <v>418.968</v>
      </c>
      <c r="E26" s="115">
        <f t="shared" ref="E26:G26" si="5">E12*$C$16*(1-$C$17)*B$20</f>
        <v>302.498</v>
      </c>
      <c r="F26" s="115">
        <f t="shared" si="5"/>
        <v>434.682</v>
      </c>
      <c r="G26" s="117">
        <f t="shared" si="5"/>
        <v>587.202</v>
      </c>
      <c r="H26" s="113">
        <f t="shared" ref="H26:J26" si="6">H12*$D$16*(1-$D$17)*B$20</f>
        <v>121.968</v>
      </c>
      <c r="I26" s="115">
        <f t="shared" si="6"/>
        <v>165.528</v>
      </c>
      <c r="J26" s="117">
        <f t="shared" si="6"/>
        <v>234.256</v>
      </c>
      <c r="K26" s="98" t="s">
        <v>114</v>
      </c>
    </row>
    <row r="27">
      <c r="A27" s="799" t="s">
        <v>628</v>
      </c>
      <c r="B27" s="113">
        <f t="shared" ref="B27:J27" si="7">SUM(B25:B26)</f>
        <v>246.96</v>
      </c>
      <c r="C27" s="115">
        <f t="shared" si="7"/>
        <v>377.784</v>
      </c>
      <c r="D27" s="117">
        <f t="shared" si="7"/>
        <v>501.336</v>
      </c>
      <c r="E27" s="115">
        <f t="shared" si="7"/>
        <v>439.208</v>
      </c>
      <c r="F27" s="115">
        <f t="shared" si="7"/>
        <v>645.606</v>
      </c>
      <c r="G27" s="117">
        <f t="shared" si="7"/>
        <v>863.412</v>
      </c>
      <c r="H27" s="113">
        <f t="shared" si="7"/>
        <v>155.232</v>
      </c>
      <c r="I27" s="115">
        <f t="shared" si="7"/>
        <v>220.176</v>
      </c>
      <c r="J27" s="117">
        <f t="shared" si="7"/>
        <v>303.952</v>
      </c>
      <c r="K27" s="98" t="s">
        <v>114</v>
      </c>
    </row>
    <row r="28">
      <c r="A28" s="799" t="s">
        <v>630</v>
      </c>
      <c r="B28" s="854">
        <f>B27*gasPricePerkWh/100</f>
        <v>19.682712</v>
      </c>
      <c r="C28" s="855">
        <f>C27*gasPricePerkWh/100</f>
        <v>30.1093848</v>
      </c>
      <c r="D28" s="856">
        <f>D27*gasPricePerkWh/100</f>
        <v>39.9564792</v>
      </c>
      <c r="E28" s="857">
        <f>E27*oilPriceP/100</f>
        <v>42.43555556</v>
      </c>
      <c r="F28" s="857">
        <f>F27*oilPriceP/100</f>
        <v>62.3773913</v>
      </c>
      <c r="G28" s="858">
        <f>G27*oilPriceP/100</f>
        <v>83.42144928</v>
      </c>
      <c r="H28" s="859">
        <f>H27*OffPeakTariff/100</f>
        <v>23.2848</v>
      </c>
      <c r="I28" s="857">
        <f>I27*OffPeakTariff/100</f>
        <v>33.0264</v>
      </c>
      <c r="J28" s="858">
        <f>J27*OffPeakTariff/100</f>
        <v>45.5928</v>
      </c>
      <c r="K28" s="98" t="s">
        <v>175</v>
      </c>
    </row>
    <row r="29">
      <c r="A29" s="840"/>
      <c r="B29" s="663"/>
      <c r="C29" s="662"/>
      <c r="D29" s="662"/>
      <c r="E29" s="663"/>
      <c r="F29" s="662"/>
      <c r="G29" s="662"/>
    </row>
    <row r="30">
      <c r="A30" s="237"/>
      <c r="B30" s="237"/>
      <c r="C30" s="245"/>
      <c r="D30" s="245"/>
      <c r="E30" s="245"/>
      <c r="F30" s="245"/>
    </row>
    <row r="31">
      <c r="A31" s="233" t="s">
        <v>644</v>
      </c>
      <c r="B31" s="322" t="s">
        <v>5</v>
      </c>
      <c r="C31" s="323" t="s">
        <v>6</v>
      </c>
      <c r="D31" s="324" t="s">
        <v>7</v>
      </c>
      <c r="E31" s="524"/>
      <c r="F31" s="524"/>
    </row>
    <row r="32">
      <c r="A32" s="864" t="s">
        <v>645</v>
      </c>
      <c r="B32" s="813">
        <v>0.8</v>
      </c>
      <c r="C32" s="814">
        <v>0.9</v>
      </c>
      <c r="D32" s="815">
        <v>0.94</v>
      </c>
      <c r="F32" s="524" t="s">
        <v>646</v>
      </c>
    </row>
    <row r="33">
      <c r="A33" s="237"/>
      <c r="B33" s="237"/>
      <c r="C33" s="245"/>
      <c r="D33" s="245"/>
      <c r="E33" s="245"/>
    </row>
    <row r="34">
      <c r="A34" s="237"/>
      <c r="B34" s="237"/>
      <c r="C34" s="245"/>
      <c r="D34" s="245"/>
      <c r="E34" s="245"/>
      <c r="F34" s="245"/>
    </row>
    <row r="35">
      <c r="A35" s="116" t="s">
        <v>647</v>
      </c>
      <c r="B35" s="14" t="s">
        <v>30</v>
      </c>
      <c r="C35" s="4"/>
      <c r="D35" s="5"/>
      <c r="E35" s="14" t="s">
        <v>31</v>
      </c>
      <c r="F35" s="4"/>
      <c r="G35" s="5"/>
      <c r="H35" s="14" t="s">
        <v>32</v>
      </c>
      <c r="I35" s="4"/>
      <c r="J35" s="5"/>
    </row>
    <row r="36">
      <c r="A36" s="116"/>
      <c r="B36" s="337" t="s">
        <v>5</v>
      </c>
      <c r="C36" s="338" t="s">
        <v>6</v>
      </c>
      <c r="D36" s="339" t="s">
        <v>7</v>
      </c>
      <c r="E36" s="337" t="s">
        <v>5</v>
      </c>
      <c r="F36" s="338" t="s">
        <v>6</v>
      </c>
      <c r="G36" s="339" t="s">
        <v>7</v>
      </c>
      <c r="H36" s="337" t="s">
        <v>5</v>
      </c>
      <c r="I36" s="338" t="s">
        <v>6</v>
      </c>
      <c r="J36" s="339" t="s">
        <v>7</v>
      </c>
    </row>
    <row r="37">
      <c r="A37" s="120" t="s">
        <v>650</v>
      </c>
      <c r="B37" s="406">
        <f>numberDwellingsUK*$B23*B32</f>
        <v>20493342.72</v>
      </c>
      <c r="C37" s="409">
        <f>numberDwellingsUK*$B23*C32</f>
        <v>23055010.56</v>
      </c>
      <c r="D37" s="410">
        <f>numberDwellingsUK*$B23*D32</f>
        <v>24079677.7</v>
      </c>
      <c r="E37" s="406">
        <f>numberDwellingsUK*$E23*B32</f>
        <v>1309676</v>
      </c>
      <c r="F37" s="409">
        <f>numberDwellingsUK*$E23*C32</f>
        <v>1473385.5</v>
      </c>
      <c r="G37" s="410">
        <f>numberDwellingsUK*$E23*D32</f>
        <v>1538869.3</v>
      </c>
      <c r="H37" s="406">
        <f>numberDwellingsUK*$H23*B32</f>
        <v>1869572.8</v>
      </c>
      <c r="I37" s="409">
        <f>numberDwellingsUK*$H23*C32</f>
        <v>2103269.4</v>
      </c>
      <c r="J37" s="410">
        <f>numberDwellingsUK*$H23*D32</f>
        <v>2196748.04</v>
      </c>
    </row>
    <row r="38">
      <c r="A38" s="237"/>
      <c r="B38" s="878"/>
      <c r="C38" s="878"/>
      <c r="D38" s="878"/>
      <c r="F38" s="245"/>
    </row>
    <row r="39">
      <c r="A39" s="237"/>
      <c r="B39" s="524"/>
      <c r="C39" s="524"/>
      <c r="D39" s="524"/>
      <c r="E39" s="290"/>
      <c r="F39" s="290"/>
      <c r="G39" s="290"/>
      <c r="H39" s="524"/>
      <c r="I39" s="524"/>
      <c r="J39" s="524"/>
    </row>
    <row r="40">
      <c r="A40" s="116" t="s">
        <v>16</v>
      </c>
      <c r="B40" s="465" t="s">
        <v>11</v>
      </c>
      <c r="C40" s="9"/>
      <c r="D40" s="9"/>
      <c r="E40" s="9"/>
      <c r="F40" s="9"/>
      <c r="G40" s="9"/>
      <c r="H40" s="9"/>
      <c r="I40" s="9"/>
      <c r="J40" s="10"/>
      <c r="K40" s="465" t="s">
        <v>256</v>
      </c>
      <c r="L40" s="9"/>
      <c r="M40" s="9"/>
      <c r="N40" s="9"/>
      <c r="O40" s="9"/>
      <c r="P40" s="9"/>
      <c r="Q40" s="9"/>
      <c r="R40" s="9"/>
      <c r="S40" s="10"/>
      <c r="T40" s="467" t="s">
        <v>257</v>
      </c>
    </row>
    <row r="41">
      <c r="A41" s="326"/>
      <c r="B41" s="75" t="s">
        <v>30</v>
      </c>
      <c r="C41" s="811"/>
      <c r="D41" s="812"/>
      <c r="E41" s="75" t="s">
        <v>31</v>
      </c>
      <c r="F41" s="811"/>
      <c r="G41" s="812"/>
      <c r="H41" s="851" t="s">
        <v>32</v>
      </c>
      <c r="I41" s="852"/>
      <c r="J41" s="853"/>
      <c r="K41" s="75" t="s">
        <v>30</v>
      </c>
      <c r="L41" s="811"/>
      <c r="M41" s="812"/>
      <c r="N41" s="75" t="s">
        <v>31</v>
      </c>
      <c r="O41" s="811"/>
      <c r="P41" s="812"/>
      <c r="Q41" s="851" t="s">
        <v>32</v>
      </c>
      <c r="R41" s="852"/>
      <c r="S41" s="853"/>
      <c r="T41" s="679"/>
    </row>
    <row r="42">
      <c r="A42" s="473"/>
      <c r="B42" s="74" t="s">
        <v>5</v>
      </c>
      <c r="C42" s="69" t="s">
        <v>6</v>
      </c>
      <c r="D42" s="70" t="s">
        <v>7</v>
      </c>
      <c r="E42" s="74" t="s">
        <v>5</v>
      </c>
      <c r="F42" s="69" t="s">
        <v>6</v>
      </c>
      <c r="G42" s="70" t="s">
        <v>7</v>
      </c>
      <c r="H42" s="74" t="s">
        <v>5</v>
      </c>
      <c r="I42" s="69" t="s">
        <v>6</v>
      </c>
      <c r="J42" s="70" t="s">
        <v>7</v>
      </c>
      <c r="K42" s="74" t="s">
        <v>5</v>
      </c>
      <c r="L42" s="69" t="s">
        <v>6</v>
      </c>
      <c r="M42" s="70" t="s">
        <v>7</v>
      </c>
      <c r="N42" s="74" t="s">
        <v>5</v>
      </c>
      <c r="O42" s="69" t="s">
        <v>6</v>
      </c>
      <c r="P42" s="70" t="s">
        <v>7</v>
      </c>
      <c r="Q42" s="74" t="s">
        <v>5</v>
      </c>
      <c r="R42" s="69" t="s">
        <v>6</v>
      </c>
      <c r="S42" s="70" t="s">
        <v>7</v>
      </c>
      <c r="T42" s="679"/>
    </row>
    <row r="43">
      <c r="A43" s="827" t="s">
        <v>261</v>
      </c>
      <c r="B43" s="113">
        <f t="shared" ref="B43:J43" si="8">B27</f>
        <v>246.96</v>
      </c>
      <c r="C43" s="115">
        <f t="shared" si="8"/>
        <v>377.784</v>
      </c>
      <c r="D43" s="117">
        <f t="shared" si="8"/>
        <v>501.336</v>
      </c>
      <c r="E43" s="113">
        <f t="shared" si="8"/>
        <v>439.208</v>
      </c>
      <c r="F43" s="115">
        <f t="shared" si="8"/>
        <v>645.606</v>
      </c>
      <c r="G43" s="117">
        <f t="shared" si="8"/>
        <v>863.412</v>
      </c>
      <c r="H43" s="113">
        <f t="shared" si="8"/>
        <v>155.232</v>
      </c>
      <c r="I43" s="115">
        <f t="shared" si="8"/>
        <v>220.176</v>
      </c>
      <c r="J43" s="117">
        <f t="shared" si="8"/>
        <v>303.952</v>
      </c>
      <c r="K43" s="891">
        <f t="shared" ref="K43:S43" si="9">B37/1000</f>
        <v>20493.34272</v>
      </c>
      <c r="L43" s="893">
        <f t="shared" si="9"/>
        <v>23055.01056</v>
      </c>
      <c r="M43" s="894">
        <f t="shared" si="9"/>
        <v>24079.6777</v>
      </c>
      <c r="N43" s="891">
        <f t="shared" si="9"/>
        <v>1309.676</v>
      </c>
      <c r="O43" s="893">
        <f t="shared" si="9"/>
        <v>1473.3855</v>
      </c>
      <c r="P43" s="894">
        <f t="shared" si="9"/>
        <v>1538.8693</v>
      </c>
      <c r="Q43" s="891">
        <f t="shared" si="9"/>
        <v>1869.5728</v>
      </c>
      <c r="R43" s="893">
        <f t="shared" si="9"/>
        <v>2103.2694</v>
      </c>
      <c r="S43" s="894">
        <f t="shared" si="9"/>
        <v>2196.74804</v>
      </c>
      <c r="T43" s="633" t="s">
        <v>133</v>
      </c>
    </row>
    <row r="44">
      <c r="A44" s="827" t="s">
        <v>675</v>
      </c>
      <c r="B44" s="711">
        <f t="shared" ref="B44:J44" si="10">B25</f>
        <v>38.304</v>
      </c>
      <c r="C44" s="712">
        <f t="shared" si="10"/>
        <v>64.8</v>
      </c>
      <c r="D44" s="713">
        <f t="shared" si="10"/>
        <v>82.368</v>
      </c>
      <c r="E44" s="711">
        <f t="shared" si="10"/>
        <v>136.71</v>
      </c>
      <c r="F44" s="712">
        <f t="shared" si="10"/>
        <v>210.924</v>
      </c>
      <c r="G44" s="713">
        <f t="shared" si="10"/>
        <v>276.21</v>
      </c>
      <c r="H44" s="711">
        <f t="shared" si="10"/>
        <v>33.264</v>
      </c>
      <c r="I44" s="712">
        <f t="shared" si="10"/>
        <v>54.648</v>
      </c>
      <c r="J44" s="713">
        <f t="shared" si="10"/>
        <v>69.696</v>
      </c>
      <c r="K44" s="754">
        <f t="shared" ref="K44:S44" si="11">K43</f>
        <v>20493.34272</v>
      </c>
      <c r="L44" s="756">
        <f t="shared" si="11"/>
        <v>23055.01056</v>
      </c>
      <c r="M44" s="757">
        <f t="shared" si="11"/>
        <v>24079.6777</v>
      </c>
      <c r="N44" s="754">
        <f t="shared" si="11"/>
        <v>1309.676</v>
      </c>
      <c r="O44" s="756">
        <f t="shared" si="11"/>
        <v>1473.3855</v>
      </c>
      <c r="P44" s="757">
        <f t="shared" si="11"/>
        <v>1538.8693</v>
      </c>
      <c r="Q44" s="754">
        <f t="shared" si="11"/>
        <v>1869.5728</v>
      </c>
      <c r="R44" s="756">
        <f t="shared" si="11"/>
        <v>2103.2694</v>
      </c>
      <c r="S44" s="757">
        <f t="shared" si="11"/>
        <v>2196.74804</v>
      </c>
      <c r="T44" s="372" t="s">
        <v>133</v>
      </c>
    </row>
    <row r="45">
      <c r="A45" s="237"/>
      <c r="B45" s="237"/>
      <c r="F45" s="524"/>
    </row>
    <row r="46">
      <c r="A46" s="237"/>
      <c r="B46" s="237"/>
      <c r="F46" s="524"/>
    </row>
    <row r="47">
      <c r="A47" s="237"/>
      <c r="B47" s="237"/>
      <c r="F47" s="524"/>
    </row>
    <row r="48">
      <c r="A48" s="237"/>
      <c r="B48" s="237"/>
      <c r="F48" s="524"/>
    </row>
    <row r="49">
      <c r="A49" s="237"/>
      <c r="B49" s="237"/>
      <c r="F49" s="524"/>
    </row>
    <row r="50">
      <c r="A50" s="237"/>
      <c r="B50" s="237"/>
      <c r="F50" s="524"/>
    </row>
    <row r="51">
      <c r="A51" s="237"/>
      <c r="B51" s="237"/>
      <c r="F51" s="524"/>
    </row>
    <row r="52">
      <c r="A52" s="237"/>
      <c r="B52" s="237"/>
      <c r="F52" s="524"/>
    </row>
    <row r="53">
      <c r="A53" s="237"/>
      <c r="B53" s="237"/>
      <c r="F53" s="524"/>
    </row>
    <row r="54">
      <c r="A54" s="237"/>
      <c r="B54" s="237"/>
      <c r="F54" s="524"/>
    </row>
    <row r="55">
      <c r="A55" s="237"/>
      <c r="B55" s="237"/>
      <c r="F55" s="524"/>
    </row>
    <row r="56">
      <c r="A56" s="237"/>
      <c r="B56" s="237"/>
      <c r="F56" s="524"/>
    </row>
    <row r="57">
      <c r="A57" s="237"/>
      <c r="B57" s="237"/>
      <c r="F57" s="524"/>
    </row>
    <row r="58">
      <c r="A58" s="237"/>
      <c r="B58" s="237"/>
      <c r="F58" s="524"/>
    </row>
    <row r="59">
      <c r="A59" s="237"/>
      <c r="B59" s="237"/>
      <c r="F59" s="524"/>
    </row>
    <row r="60">
      <c r="A60" s="237"/>
      <c r="B60" s="237"/>
      <c r="F60" s="524"/>
    </row>
    <row r="61">
      <c r="A61" s="237"/>
      <c r="B61" s="237"/>
      <c r="F61" s="524"/>
    </row>
    <row r="62">
      <c r="A62" s="237"/>
      <c r="B62" s="237"/>
      <c r="F62" s="524"/>
    </row>
    <row r="63">
      <c r="A63" s="237"/>
      <c r="B63" s="237"/>
      <c r="F63" s="524"/>
    </row>
    <row r="64">
      <c r="A64" s="237"/>
      <c r="B64" s="237"/>
      <c r="F64" s="524"/>
    </row>
    <row r="65">
      <c r="A65" s="237"/>
      <c r="B65" s="237"/>
      <c r="F65" s="524"/>
    </row>
    <row r="66">
      <c r="A66" s="237"/>
      <c r="B66" s="237"/>
      <c r="F66" s="524"/>
    </row>
    <row r="67">
      <c r="A67" s="237"/>
      <c r="B67" s="237"/>
      <c r="F67" s="524"/>
    </row>
    <row r="68">
      <c r="A68" s="237"/>
      <c r="B68" s="237"/>
      <c r="F68" s="524"/>
    </row>
    <row r="69">
      <c r="A69" s="237"/>
      <c r="B69" s="237"/>
      <c r="F69" s="524"/>
    </row>
    <row r="70">
      <c r="A70" s="237"/>
      <c r="B70" s="237"/>
      <c r="F70" s="524"/>
    </row>
    <row r="71">
      <c r="A71" s="237"/>
      <c r="B71" s="237"/>
      <c r="F71" s="524"/>
    </row>
    <row r="72">
      <c r="A72" s="237"/>
      <c r="B72" s="237"/>
      <c r="F72" s="524"/>
    </row>
    <row r="73">
      <c r="A73" s="237"/>
      <c r="B73" s="237"/>
      <c r="F73" s="524"/>
    </row>
    <row r="74">
      <c r="A74" s="237"/>
      <c r="B74" s="237"/>
      <c r="F74" s="524"/>
    </row>
    <row r="75">
      <c r="A75" s="237"/>
      <c r="B75" s="237"/>
      <c r="F75" s="524"/>
    </row>
    <row r="76">
      <c r="A76" s="237"/>
      <c r="B76" s="237"/>
      <c r="F76" s="524"/>
    </row>
    <row r="77">
      <c r="A77" s="237"/>
      <c r="B77" s="237"/>
      <c r="F77" s="524"/>
    </row>
    <row r="78">
      <c r="A78" s="237"/>
      <c r="B78" s="237"/>
      <c r="F78" s="524"/>
    </row>
    <row r="79">
      <c r="A79" s="237"/>
      <c r="B79" s="237"/>
      <c r="F79" s="524"/>
    </row>
    <row r="80">
      <c r="A80" s="237"/>
      <c r="B80" s="237"/>
      <c r="F80" s="524"/>
    </row>
    <row r="81">
      <c r="A81" s="237"/>
      <c r="B81" s="237"/>
      <c r="F81" s="524"/>
    </row>
    <row r="82">
      <c r="A82" s="237"/>
      <c r="B82" s="237"/>
      <c r="F82" s="524"/>
    </row>
    <row r="83">
      <c r="A83" s="237"/>
      <c r="B83" s="237"/>
      <c r="F83" s="524"/>
    </row>
    <row r="84">
      <c r="A84" s="237"/>
      <c r="B84" s="237"/>
      <c r="F84" s="524"/>
    </row>
    <row r="85">
      <c r="A85" s="237"/>
      <c r="B85" s="237"/>
      <c r="F85" s="524"/>
    </row>
    <row r="86">
      <c r="A86" s="237"/>
      <c r="B86" s="237"/>
      <c r="F86" s="524"/>
    </row>
    <row r="87">
      <c r="A87" s="237"/>
      <c r="B87" s="237"/>
      <c r="F87" s="524"/>
    </row>
    <row r="88">
      <c r="A88" s="237"/>
      <c r="B88" s="237"/>
      <c r="F88" s="524"/>
    </row>
    <row r="89">
      <c r="A89" s="237"/>
      <c r="B89" s="237"/>
      <c r="F89" s="524"/>
    </row>
    <row r="90">
      <c r="A90" s="237"/>
      <c r="B90" s="237"/>
      <c r="F90" s="524"/>
    </row>
    <row r="91">
      <c r="A91" s="237"/>
      <c r="B91" s="237"/>
      <c r="F91" s="524"/>
    </row>
    <row r="92">
      <c r="A92" s="237"/>
      <c r="B92" s="237"/>
      <c r="F92" s="524"/>
    </row>
    <row r="93">
      <c r="A93" s="237"/>
      <c r="B93" s="237"/>
      <c r="F93" s="524"/>
    </row>
    <row r="94">
      <c r="A94" s="237"/>
      <c r="B94" s="237"/>
      <c r="F94" s="524"/>
    </row>
    <row r="95">
      <c r="A95" s="237"/>
      <c r="B95" s="237"/>
      <c r="F95" s="524"/>
    </row>
    <row r="96">
      <c r="A96" s="237"/>
      <c r="B96" s="237"/>
      <c r="F96" s="524"/>
    </row>
    <row r="97">
      <c r="A97" s="237"/>
      <c r="B97" s="237"/>
      <c r="F97" s="524"/>
    </row>
    <row r="98">
      <c r="A98" s="237"/>
      <c r="B98" s="237"/>
      <c r="F98" s="524"/>
    </row>
    <row r="99">
      <c r="A99" s="237"/>
      <c r="B99" s="237"/>
      <c r="F99" s="524"/>
    </row>
    <row r="100">
      <c r="A100" s="237"/>
      <c r="B100" s="237"/>
      <c r="F100" s="524"/>
    </row>
    <row r="101">
      <c r="A101" s="237"/>
      <c r="B101" s="237"/>
      <c r="F101" s="524"/>
    </row>
    <row r="102">
      <c r="A102" s="237"/>
      <c r="B102" s="237"/>
      <c r="F102" s="524"/>
    </row>
    <row r="103">
      <c r="A103" s="237"/>
      <c r="B103" s="237"/>
      <c r="F103" s="524"/>
    </row>
    <row r="104">
      <c r="A104" s="237"/>
      <c r="B104" s="237"/>
      <c r="F104" s="524"/>
    </row>
    <row r="105">
      <c r="A105" s="237"/>
      <c r="B105" s="237"/>
      <c r="F105" s="524"/>
    </row>
    <row r="106">
      <c r="A106" s="237"/>
      <c r="B106" s="237"/>
      <c r="F106" s="524"/>
    </row>
    <row r="107">
      <c r="A107" s="237"/>
      <c r="B107" s="237"/>
      <c r="F107" s="524"/>
    </row>
    <row r="108">
      <c r="A108" s="237"/>
      <c r="B108" s="237"/>
      <c r="F108" s="524"/>
    </row>
    <row r="109">
      <c r="A109" s="237"/>
      <c r="B109" s="237"/>
      <c r="F109" s="524"/>
    </row>
    <row r="110">
      <c r="A110" s="237"/>
      <c r="B110" s="237"/>
      <c r="F110" s="524"/>
    </row>
    <row r="111">
      <c r="A111" s="237"/>
      <c r="B111" s="237"/>
      <c r="F111" s="524"/>
    </row>
    <row r="112">
      <c r="A112" s="237"/>
      <c r="B112" s="237"/>
      <c r="F112" s="524"/>
    </row>
    <row r="113">
      <c r="A113" s="237"/>
      <c r="B113" s="237"/>
      <c r="F113" s="524"/>
    </row>
    <row r="114">
      <c r="A114" s="237"/>
      <c r="B114" s="237"/>
      <c r="F114" s="524"/>
    </row>
    <row r="115">
      <c r="A115" s="237"/>
      <c r="B115" s="237"/>
      <c r="F115" s="524"/>
    </row>
    <row r="116">
      <c r="A116" s="237"/>
      <c r="B116" s="237"/>
      <c r="F116" s="524"/>
    </row>
    <row r="117">
      <c r="A117" s="237"/>
      <c r="B117" s="237"/>
      <c r="F117" s="524"/>
    </row>
    <row r="118">
      <c r="A118" s="237"/>
      <c r="B118" s="237"/>
      <c r="F118" s="524"/>
    </row>
    <row r="119">
      <c r="A119" s="237"/>
      <c r="B119" s="237"/>
      <c r="F119" s="524"/>
    </row>
    <row r="120">
      <c r="A120" s="237"/>
      <c r="B120" s="237"/>
      <c r="F120" s="524"/>
    </row>
    <row r="121">
      <c r="A121" s="237"/>
      <c r="B121" s="237"/>
      <c r="F121" s="524"/>
    </row>
    <row r="122">
      <c r="A122" s="237"/>
      <c r="B122" s="237"/>
      <c r="F122" s="524"/>
    </row>
    <row r="123">
      <c r="A123" s="237"/>
      <c r="B123" s="237"/>
      <c r="F123" s="524"/>
    </row>
    <row r="124">
      <c r="A124" s="237"/>
      <c r="B124" s="237"/>
      <c r="F124" s="524"/>
    </row>
    <row r="125">
      <c r="A125" s="237"/>
      <c r="B125" s="237"/>
      <c r="F125" s="524"/>
    </row>
    <row r="126">
      <c r="A126" s="237"/>
      <c r="B126" s="237"/>
      <c r="F126" s="524"/>
    </row>
    <row r="127">
      <c r="A127" s="237"/>
      <c r="B127" s="237"/>
      <c r="F127" s="524"/>
    </row>
    <row r="128">
      <c r="A128" s="237"/>
      <c r="B128" s="237"/>
      <c r="F128" s="524"/>
    </row>
    <row r="129">
      <c r="A129" s="237"/>
      <c r="B129" s="237"/>
      <c r="F129" s="524"/>
    </row>
    <row r="130">
      <c r="A130" s="237"/>
      <c r="B130" s="237"/>
      <c r="F130" s="524"/>
    </row>
    <row r="131">
      <c r="A131" s="237"/>
      <c r="B131" s="237"/>
      <c r="F131" s="524"/>
    </row>
    <row r="132">
      <c r="A132" s="237"/>
      <c r="B132" s="237"/>
      <c r="F132" s="524"/>
    </row>
    <row r="133">
      <c r="A133" s="237"/>
      <c r="B133" s="237"/>
      <c r="F133" s="524"/>
    </row>
    <row r="134">
      <c r="A134" s="237"/>
      <c r="B134" s="237"/>
      <c r="F134" s="524"/>
    </row>
    <row r="135">
      <c r="A135" s="237"/>
      <c r="B135" s="237"/>
      <c r="F135" s="524"/>
    </row>
    <row r="136">
      <c r="A136" s="237"/>
      <c r="B136" s="237"/>
      <c r="F136" s="524"/>
    </row>
    <row r="137">
      <c r="A137" s="237"/>
      <c r="B137" s="237"/>
      <c r="F137" s="524"/>
    </row>
    <row r="138">
      <c r="A138" s="237"/>
      <c r="B138" s="237"/>
      <c r="F138" s="524"/>
    </row>
    <row r="139">
      <c r="A139" s="237"/>
      <c r="B139" s="237"/>
      <c r="F139" s="524"/>
    </row>
    <row r="140">
      <c r="A140" s="237"/>
      <c r="B140" s="237"/>
      <c r="F140" s="524"/>
    </row>
    <row r="141">
      <c r="A141" s="237"/>
      <c r="B141" s="237"/>
      <c r="F141" s="524"/>
    </row>
    <row r="142">
      <c r="A142" s="237"/>
      <c r="B142" s="237"/>
      <c r="F142" s="524"/>
    </row>
    <row r="143">
      <c r="A143" s="237"/>
      <c r="B143" s="237"/>
      <c r="F143" s="524"/>
    </row>
    <row r="144">
      <c r="A144" s="237"/>
      <c r="B144" s="237"/>
      <c r="F144" s="524"/>
    </row>
    <row r="145">
      <c r="A145" s="237"/>
      <c r="B145" s="237"/>
      <c r="F145" s="524"/>
    </row>
    <row r="146">
      <c r="A146" s="237"/>
      <c r="B146" s="237"/>
      <c r="F146" s="524"/>
    </row>
    <row r="147">
      <c r="A147" s="237"/>
      <c r="B147" s="237"/>
      <c r="F147" s="524"/>
    </row>
    <row r="148">
      <c r="A148" s="237"/>
      <c r="B148" s="237"/>
      <c r="F148" s="524"/>
    </row>
    <row r="149">
      <c r="A149" s="237"/>
      <c r="B149" s="237"/>
      <c r="F149" s="524"/>
    </row>
    <row r="150">
      <c r="A150" s="237"/>
      <c r="B150" s="237"/>
      <c r="F150" s="524"/>
    </row>
    <row r="151">
      <c r="A151" s="237"/>
      <c r="B151" s="237"/>
      <c r="F151" s="524"/>
    </row>
    <row r="152">
      <c r="A152" s="237"/>
      <c r="B152" s="237"/>
      <c r="F152" s="524"/>
    </row>
    <row r="153">
      <c r="A153" s="237"/>
      <c r="B153" s="237"/>
      <c r="F153" s="524"/>
    </row>
    <row r="154">
      <c r="A154" s="237"/>
      <c r="B154" s="237"/>
      <c r="F154" s="524"/>
    </row>
    <row r="155">
      <c r="A155" s="237"/>
      <c r="B155" s="237"/>
      <c r="F155" s="524"/>
    </row>
    <row r="156">
      <c r="A156" s="237"/>
      <c r="B156" s="237"/>
      <c r="F156" s="524"/>
    </row>
    <row r="157">
      <c r="A157" s="237"/>
      <c r="B157" s="237"/>
      <c r="F157" s="524"/>
    </row>
    <row r="158">
      <c r="A158" s="237"/>
      <c r="B158" s="237"/>
      <c r="F158" s="524"/>
    </row>
    <row r="159">
      <c r="A159" s="237"/>
      <c r="B159" s="237"/>
      <c r="F159" s="524"/>
    </row>
    <row r="160">
      <c r="A160" s="237"/>
      <c r="B160" s="237"/>
      <c r="F160" s="524"/>
    </row>
    <row r="161">
      <c r="A161" s="237"/>
      <c r="B161" s="237"/>
      <c r="F161" s="524"/>
    </row>
    <row r="162">
      <c r="A162" s="237"/>
      <c r="B162" s="237"/>
      <c r="F162" s="524"/>
    </row>
    <row r="163">
      <c r="A163" s="237"/>
      <c r="B163" s="237"/>
      <c r="F163" s="524"/>
    </row>
    <row r="164">
      <c r="A164" s="237"/>
      <c r="B164" s="237"/>
      <c r="F164" s="524"/>
    </row>
    <row r="165">
      <c r="A165" s="237"/>
      <c r="B165" s="237"/>
      <c r="F165" s="524"/>
    </row>
    <row r="166">
      <c r="A166" s="237"/>
      <c r="B166" s="237"/>
      <c r="F166" s="524"/>
    </row>
    <row r="167">
      <c r="A167" s="237"/>
      <c r="B167" s="237"/>
      <c r="F167" s="524"/>
    </row>
    <row r="168">
      <c r="A168" s="237"/>
      <c r="B168" s="237"/>
      <c r="F168" s="524"/>
    </row>
    <row r="169">
      <c r="A169" s="237"/>
      <c r="B169" s="237"/>
      <c r="F169" s="524"/>
    </row>
    <row r="170">
      <c r="A170" s="237"/>
      <c r="B170" s="237"/>
      <c r="F170" s="524"/>
    </row>
    <row r="171">
      <c r="A171" s="237"/>
      <c r="B171" s="237"/>
      <c r="F171" s="524"/>
    </row>
    <row r="172">
      <c r="A172" s="237"/>
      <c r="B172" s="237"/>
      <c r="F172" s="524"/>
    </row>
    <row r="173">
      <c r="A173" s="237"/>
      <c r="B173" s="237"/>
      <c r="F173" s="524"/>
    </row>
    <row r="174">
      <c r="A174" s="237"/>
      <c r="B174" s="237"/>
      <c r="F174" s="524"/>
    </row>
    <row r="175">
      <c r="A175" s="237"/>
      <c r="B175" s="237"/>
      <c r="F175" s="524"/>
    </row>
    <row r="176">
      <c r="A176" s="237"/>
      <c r="B176" s="237"/>
      <c r="F176" s="524"/>
    </row>
    <row r="177">
      <c r="A177" s="237"/>
      <c r="B177" s="237"/>
      <c r="F177" s="524"/>
    </row>
    <row r="178">
      <c r="A178" s="237"/>
      <c r="B178" s="237"/>
      <c r="F178" s="524"/>
    </row>
    <row r="179">
      <c r="A179" s="237"/>
      <c r="B179" s="237"/>
      <c r="F179" s="524"/>
    </row>
    <row r="180">
      <c r="A180" s="237"/>
      <c r="B180" s="237"/>
      <c r="F180" s="524"/>
    </row>
    <row r="181">
      <c r="A181" s="237"/>
      <c r="B181" s="237"/>
      <c r="F181" s="524"/>
    </row>
    <row r="182">
      <c r="A182" s="237"/>
      <c r="B182" s="237"/>
      <c r="F182" s="524"/>
    </row>
    <row r="183">
      <c r="A183" s="237"/>
      <c r="B183" s="237"/>
      <c r="F183" s="524"/>
    </row>
    <row r="184">
      <c r="A184" s="237"/>
      <c r="B184" s="237"/>
      <c r="F184" s="524"/>
    </row>
    <row r="185">
      <c r="A185" s="237"/>
      <c r="B185" s="237"/>
      <c r="F185" s="524"/>
    </row>
    <row r="186">
      <c r="A186" s="237"/>
      <c r="B186" s="237"/>
      <c r="F186" s="524"/>
    </row>
    <row r="187">
      <c r="A187" s="237"/>
      <c r="B187" s="237"/>
      <c r="F187" s="524"/>
    </row>
    <row r="188">
      <c r="A188" s="237"/>
      <c r="B188" s="237"/>
      <c r="F188" s="524"/>
    </row>
    <row r="189">
      <c r="A189" s="237"/>
      <c r="B189" s="237"/>
      <c r="F189" s="524"/>
    </row>
    <row r="190">
      <c r="A190" s="237"/>
      <c r="B190" s="237"/>
      <c r="F190" s="524"/>
    </row>
    <row r="191">
      <c r="A191" s="237"/>
      <c r="B191" s="237"/>
      <c r="F191" s="524"/>
    </row>
    <row r="192">
      <c r="A192" s="237"/>
      <c r="B192" s="237"/>
      <c r="F192" s="524"/>
    </row>
    <row r="193">
      <c r="A193" s="237"/>
      <c r="B193" s="237"/>
      <c r="F193" s="524"/>
    </row>
    <row r="194">
      <c r="A194" s="237"/>
      <c r="B194" s="237"/>
      <c r="F194" s="524"/>
    </row>
    <row r="195">
      <c r="A195" s="237"/>
      <c r="B195" s="237"/>
      <c r="F195" s="524"/>
    </row>
    <row r="196">
      <c r="A196" s="237"/>
      <c r="B196" s="237"/>
      <c r="F196" s="524"/>
    </row>
    <row r="197">
      <c r="A197" s="237"/>
      <c r="B197" s="237"/>
      <c r="F197" s="524"/>
    </row>
    <row r="198">
      <c r="A198" s="237"/>
      <c r="B198" s="237"/>
      <c r="F198" s="524"/>
    </row>
    <row r="199">
      <c r="A199" s="237"/>
      <c r="B199" s="237"/>
      <c r="F199" s="524"/>
    </row>
    <row r="200">
      <c r="A200" s="237"/>
      <c r="B200" s="237"/>
      <c r="F200" s="524"/>
    </row>
    <row r="201">
      <c r="A201" s="237"/>
      <c r="B201" s="237"/>
      <c r="F201" s="524"/>
    </row>
    <row r="202">
      <c r="A202" s="237"/>
      <c r="B202" s="237"/>
      <c r="F202" s="524"/>
    </row>
    <row r="203">
      <c r="A203" s="237"/>
      <c r="B203" s="237"/>
      <c r="F203" s="524"/>
    </row>
    <row r="204">
      <c r="A204" s="237"/>
      <c r="B204" s="237"/>
      <c r="F204" s="524"/>
    </row>
    <row r="205">
      <c r="A205" s="237"/>
      <c r="B205" s="237"/>
      <c r="F205" s="524"/>
    </row>
    <row r="206">
      <c r="A206" s="237"/>
      <c r="B206" s="237"/>
      <c r="F206" s="524"/>
    </row>
    <row r="207">
      <c r="A207" s="237"/>
      <c r="B207" s="237"/>
      <c r="F207" s="524"/>
    </row>
    <row r="208">
      <c r="A208" s="237"/>
      <c r="B208" s="237"/>
      <c r="F208" s="524"/>
    </row>
    <row r="209">
      <c r="A209" s="237"/>
      <c r="B209" s="237"/>
      <c r="F209" s="524"/>
    </row>
    <row r="210">
      <c r="A210" s="237"/>
      <c r="B210" s="237"/>
      <c r="F210" s="524"/>
    </row>
    <row r="211">
      <c r="A211" s="237"/>
      <c r="B211" s="237"/>
      <c r="F211" s="524"/>
    </row>
    <row r="212">
      <c r="A212" s="237"/>
      <c r="B212" s="237"/>
      <c r="F212" s="524"/>
    </row>
    <row r="213">
      <c r="A213" s="237"/>
      <c r="B213" s="237"/>
      <c r="F213" s="524"/>
    </row>
    <row r="214">
      <c r="A214" s="237"/>
      <c r="B214" s="237"/>
      <c r="F214" s="524"/>
    </row>
    <row r="215">
      <c r="A215" s="237"/>
      <c r="B215" s="237"/>
      <c r="F215" s="524"/>
    </row>
    <row r="216">
      <c r="A216" s="237"/>
      <c r="B216" s="237"/>
      <c r="F216" s="524"/>
    </row>
    <row r="217">
      <c r="A217" s="237"/>
      <c r="B217" s="237"/>
      <c r="F217" s="524"/>
    </row>
    <row r="218">
      <c r="A218" s="237"/>
      <c r="B218" s="237"/>
      <c r="F218" s="524"/>
    </row>
    <row r="219">
      <c r="A219" s="237"/>
      <c r="B219" s="237"/>
      <c r="F219" s="524"/>
    </row>
    <row r="220">
      <c r="A220" s="237"/>
      <c r="B220" s="237"/>
      <c r="F220" s="524"/>
    </row>
    <row r="221">
      <c r="A221" s="237"/>
      <c r="B221" s="237"/>
      <c r="F221" s="524"/>
    </row>
    <row r="222">
      <c r="A222" s="237"/>
      <c r="B222" s="237"/>
      <c r="F222" s="524"/>
    </row>
    <row r="223">
      <c r="A223" s="237"/>
      <c r="B223" s="237"/>
      <c r="F223" s="524"/>
    </row>
    <row r="224">
      <c r="A224" s="237"/>
      <c r="B224" s="237"/>
      <c r="F224" s="524"/>
    </row>
    <row r="225">
      <c r="A225" s="237"/>
      <c r="B225" s="237"/>
      <c r="F225" s="524"/>
    </row>
    <row r="226">
      <c r="A226" s="237"/>
      <c r="B226" s="237"/>
      <c r="F226" s="524"/>
    </row>
    <row r="227">
      <c r="A227" s="237"/>
      <c r="B227" s="237"/>
      <c r="F227" s="524"/>
    </row>
    <row r="228">
      <c r="A228" s="237"/>
      <c r="B228" s="237"/>
      <c r="F228" s="524"/>
    </row>
    <row r="229">
      <c r="A229" s="237"/>
      <c r="B229" s="237"/>
      <c r="F229" s="524"/>
    </row>
    <row r="230">
      <c r="A230" s="237"/>
      <c r="B230" s="237"/>
      <c r="F230" s="524"/>
    </row>
    <row r="231">
      <c r="A231" s="237"/>
      <c r="B231" s="237"/>
      <c r="F231" s="524"/>
    </row>
    <row r="232">
      <c r="A232" s="237"/>
      <c r="B232" s="237"/>
      <c r="F232" s="524"/>
    </row>
    <row r="233">
      <c r="A233" s="237"/>
      <c r="B233" s="237"/>
      <c r="F233" s="524"/>
    </row>
    <row r="234">
      <c r="A234" s="237"/>
      <c r="B234" s="237"/>
      <c r="F234" s="524"/>
    </row>
    <row r="235">
      <c r="A235" s="237"/>
      <c r="B235" s="237"/>
      <c r="F235" s="524"/>
    </row>
    <row r="236">
      <c r="A236" s="237"/>
      <c r="B236" s="237"/>
      <c r="F236" s="524"/>
    </row>
    <row r="237">
      <c r="A237" s="237"/>
      <c r="B237" s="237"/>
      <c r="F237" s="524"/>
    </row>
    <row r="238">
      <c r="A238" s="237"/>
      <c r="B238" s="237"/>
      <c r="F238" s="524"/>
    </row>
    <row r="239">
      <c r="A239" s="237"/>
      <c r="B239" s="237"/>
      <c r="F239" s="524"/>
    </row>
    <row r="240">
      <c r="A240" s="237"/>
      <c r="B240" s="237"/>
      <c r="F240" s="524"/>
    </row>
    <row r="241">
      <c r="A241" s="237"/>
      <c r="B241" s="237"/>
      <c r="F241" s="524"/>
    </row>
    <row r="242">
      <c r="A242" s="237"/>
      <c r="B242" s="237"/>
      <c r="F242" s="524"/>
    </row>
    <row r="243">
      <c r="A243" s="237"/>
      <c r="B243" s="237"/>
      <c r="F243" s="524"/>
    </row>
    <row r="244">
      <c r="A244" s="237"/>
      <c r="B244" s="237"/>
      <c r="F244" s="524"/>
    </row>
    <row r="245">
      <c r="A245" s="237"/>
      <c r="B245" s="237"/>
      <c r="F245" s="524"/>
    </row>
    <row r="246">
      <c r="A246" s="237"/>
      <c r="B246" s="237"/>
      <c r="F246" s="524"/>
    </row>
    <row r="247">
      <c r="A247" s="237"/>
      <c r="B247" s="237"/>
      <c r="F247" s="524"/>
    </row>
    <row r="248">
      <c r="A248" s="237"/>
      <c r="B248" s="237"/>
      <c r="F248" s="524"/>
    </row>
    <row r="249">
      <c r="A249" s="237"/>
      <c r="B249" s="237"/>
      <c r="F249" s="524"/>
    </row>
    <row r="250">
      <c r="A250" s="237"/>
      <c r="B250" s="237"/>
      <c r="F250" s="524"/>
    </row>
    <row r="251">
      <c r="A251" s="237"/>
      <c r="B251" s="237"/>
      <c r="F251" s="524"/>
    </row>
    <row r="252">
      <c r="A252" s="237"/>
      <c r="B252" s="237"/>
      <c r="F252" s="524"/>
    </row>
    <row r="253">
      <c r="A253" s="237"/>
      <c r="B253" s="237"/>
      <c r="F253" s="524"/>
    </row>
    <row r="254">
      <c r="A254" s="237"/>
      <c r="B254" s="237"/>
      <c r="F254" s="524"/>
    </row>
    <row r="255">
      <c r="A255" s="237"/>
      <c r="B255" s="237"/>
      <c r="F255" s="524"/>
    </row>
    <row r="256">
      <c r="A256" s="237"/>
      <c r="B256" s="237"/>
      <c r="F256" s="524"/>
    </row>
    <row r="257">
      <c r="A257" s="237"/>
      <c r="B257" s="237"/>
      <c r="F257" s="524"/>
    </row>
    <row r="258">
      <c r="A258" s="237"/>
      <c r="B258" s="237"/>
      <c r="F258" s="524"/>
    </row>
    <row r="259">
      <c r="A259" s="237"/>
      <c r="B259" s="237"/>
      <c r="F259" s="524"/>
    </row>
    <row r="260">
      <c r="A260" s="237"/>
      <c r="B260" s="237"/>
      <c r="F260" s="524"/>
    </row>
    <row r="261">
      <c r="A261" s="237"/>
      <c r="B261" s="237"/>
      <c r="F261" s="524"/>
    </row>
    <row r="262">
      <c r="A262" s="237"/>
      <c r="B262" s="237"/>
      <c r="F262" s="524"/>
    </row>
    <row r="263">
      <c r="A263" s="237"/>
      <c r="B263" s="237"/>
      <c r="F263" s="524"/>
    </row>
    <row r="264">
      <c r="A264" s="237"/>
      <c r="B264" s="237"/>
      <c r="F264" s="524"/>
    </row>
    <row r="265">
      <c r="A265" s="237"/>
      <c r="B265" s="237"/>
      <c r="F265" s="524"/>
    </row>
    <row r="266">
      <c r="A266" s="237"/>
      <c r="B266" s="237"/>
      <c r="F266" s="524"/>
    </row>
    <row r="267">
      <c r="A267" s="237"/>
      <c r="B267" s="237"/>
      <c r="F267" s="524"/>
    </row>
    <row r="268">
      <c r="A268" s="237"/>
      <c r="B268" s="237"/>
      <c r="F268" s="524"/>
    </row>
    <row r="269">
      <c r="A269" s="237"/>
      <c r="B269" s="237"/>
      <c r="F269" s="524"/>
    </row>
    <row r="270">
      <c r="A270" s="237"/>
      <c r="B270" s="237"/>
      <c r="F270" s="524"/>
    </row>
    <row r="271">
      <c r="A271" s="237"/>
      <c r="B271" s="237"/>
      <c r="F271" s="524"/>
    </row>
    <row r="272">
      <c r="A272" s="237"/>
      <c r="B272" s="237"/>
      <c r="F272" s="524"/>
    </row>
    <row r="273">
      <c r="A273" s="237"/>
      <c r="B273" s="237"/>
      <c r="F273" s="524"/>
    </row>
    <row r="274">
      <c r="A274" s="237"/>
      <c r="B274" s="237"/>
      <c r="F274" s="524"/>
    </row>
    <row r="275">
      <c r="A275" s="237"/>
      <c r="B275" s="237"/>
      <c r="F275" s="524"/>
    </row>
    <row r="276">
      <c r="A276" s="237"/>
      <c r="B276" s="237"/>
      <c r="F276" s="524"/>
    </row>
    <row r="277">
      <c r="A277" s="237"/>
      <c r="B277" s="237"/>
      <c r="F277" s="524"/>
    </row>
    <row r="278">
      <c r="A278" s="237"/>
      <c r="B278" s="237"/>
      <c r="F278" s="524"/>
    </row>
    <row r="279">
      <c r="A279" s="237"/>
      <c r="B279" s="237"/>
      <c r="F279" s="524"/>
    </row>
    <row r="280">
      <c r="A280" s="237"/>
      <c r="B280" s="237"/>
      <c r="F280" s="524"/>
    </row>
    <row r="281">
      <c r="A281" s="237"/>
      <c r="B281" s="237"/>
      <c r="F281" s="524"/>
    </row>
    <row r="282">
      <c r="A282" s="237"/>
      <c r="B282" s="237"/>
      <c r="F282" s="524"/>
    </row>
    <row r="283">
      <c r="A283" s="237"/>
      <c r="B283" s="237"/>
      <c r="F283" s="524"/>
    </row>
    <row r="284">
      <c r="A284" s="237"/>
      <c r="B284" s="237"/>
      <c r="F284" s="524"/>
    </row>
    <row r="285">
      <c r="A285" s="237"/>
      <c r="B285" s="237"/>
      <c r="F285" s="524"/>
    </row>
    <row r="286">
      <c r="A286" s="237"/>
      <c r="B286" s="237"/>
      <c r="F286" s="524"/>
    </row>
    <row r="287">
      <c r="A287" s="237"/>
      <c r="B287" s="237"/>
      <c r="F287" s="524"/>
    </row>
    <row r="288">
      <c r="A288" s="237"/>
      <c r="B288" s="237"/>
      <c r="F288" s="524"/>
    </row>
    <row r="289">
      <c r="A289" s="237"/>
      <c r="B289" s="237"/>
      <c r="F289" s="524"/>
    </row>
    <row r="290">
      <c r="A290" s="237"/>
      <c r="B290" s="237"/>
      <c r="F290" s="524"/>
    </row>
    <row r="291">
      <c r="A291" s="237"/>
      <c r="B291" s="237"/>
      <c r="F291" s="524"/>
    </row>
    <row r="292">
      <c r="A292" s="237"/>
      <c r="B292" s="237"/>
      <c r="F292" s="524"/>
    </row>
    <row r="293">
      <c r="A293" s="237"/>
      <c r="B293" s="237"/>
      <c r="F293" s="524"/>
    </row>
    <row r="294">
      <c r="A294" s="237"/>
      <c r="B294" s="237"/>
      <c r="F294" s="524"/>
    </row>
    <row r="295">
      <c r="A295" s="237"/>
      <c r="B295" s="237"/>
      <c r="F295" s="524"/>
    </row>
    <row r="296">
      <c r="A296" s="237"/>
      <c r="B296" s="237"/>
      <c r="F296" s="524"/>
    </row>
    <row r="297">
      <c r="A297" s="237"/>
      <c r="B297" s="237"/>
      <c r="F297" s="524"/>
    </row>
    <row r="298">
      <c r="A298" s="237"/>
      <c r="B298" s="237"/>
      <c r="F298" s="524"/>
    </row>
    <row r="299">
      <c r="A299" s="237"/>
      <c r="B299" s="237"/>
      <c r="F299" s="524"/>
    </row>
    <row r="300">
      <c r="A300" s="237"/>
      <c r="B300" s="237"/>
      <c r="F300" s="524"/>
    </row>
    <row r="301">
      <c r="A301" s="237"/>
      <c r="B301" s="237"/>
      <c r="F301" s="524"/>
    </row>
    <row r="302">
      <c r="A302" s="237"/>
      <c r="B302" s="237"/>
      <c r="F302" s="524"/>
    </row>
    <row r="303">
      <c r="A303" s="237"/>
      <c r="B303" s="237"/>
      <c r="F303" s="524"/>
    </row>
    <row r="304">
      <c r="A304" s="237"/>
      <c r="B304" s="237"/>
      <c r="F304" s="524"/>
    </row>
    <row r="305">
      <c r="A305" s="237"/>
      <c r="B305" s="237"/>
      <c r="F305" s="524"/>
    </row>
    <row r="306">
      <c r="A306" s="237"/>
      <c r="B306" s="237"/>
      <c r="F306" s="524"/>
    </row>
    <row r="307">
      <c r="A307" s="237"/>
      <c r="B307" s="237"/>
      <c r="F307" s="524"/>
    </row>
    <row r="308">
      <c r="A308" s="237"/>
      <c r="B308" s="237"/>
      <c r="F308" s="524"/>
    </row>
    <row r="309">
      <c r="A309" s="237"/>
      <c r="B309" s="237"/>
      <c r="F309" s="524"/>
    </row>
    <row r="310">
      <c r="A310" s="237"/>
      <c r="B310" s="237"/>
      <c r="F310" s="524"/>
    </row>
    <row r="311">
      <c r="A311" s="237"/>
      <c r="B311" s="237"/>
      <c r="F311" s="524"/>
    </row>
    <row r="312">
      <c r="A312" s="237"/>
      <c r="B312" s="237"/>
      <c r="F312" s="524"/>
    </row>
    <row r="313">
      <c r="A313" s="237"/>
      <c r="B313" s="237"/>
      <c r="F313" s="524"/>
    </row>
    <row r="314">
      <c r="A314" s="237"/>
      <c r="B314" s="237"/>
      <c r="F314" s="524"/>
    </row>
    <row r="315">
      <c r="A315" s="237"/>
      <c r="B315" s="237"/>
      <c r="F315" s="524"/>
    </row>
    <row r="316">
      <c r="A316" s="237"/>
      <c r="B316" s="237"/>
      <c r="F316" s="524"/>
    </row>
    <row r="317">
      <c r="A317" s="237"/>
      <c r="B317" s="237"/>
      <c r="F317" s="524"/>
    </row>
    <row r="318">
      <c r="A318" s="237"/>
      <c r="B318" s="237"/>
      <c r="F318" s="524"/>
    </row>
    <row r="319">
      <c r="A319" s="237"/>
      <c r="B319" s="237"/>
      <c r="F319" s="524"/>
    </row>
    <row r="320">
      <c r="A320" s="237"/>
      <c r="B320" s="237"/>
      <c r="F320" s="524"/>
    </row>
    <row r="321">
      <c r="A321" s="237"/>
      <c r="B321" s="237"/>
      <c r="F321" s="524"/>
    </row>
    <row r="322">
      <c r="A322" s="237"/>
      <c r="B322" s="237"/>
      <c r="F322" s="524"/>
    </row>
    <row r="323">
      <c r="A323" s="237"/>
      <c r="B323" s="237"/>
      <c r="F323" s="524"/>
    </row>
    <row r="324">
      <c r="A324" s="237"/>
      <c r="B324" s="237"/>
      <c r="F324" s="524"/>
    </row>
    <row r="325">
      <c r="A325" s="237"/>
      <c r="B325" s="237"/>
      <c r="F325" s="524"/>
    </row>
    <row r="326">
      <c r="A326" s="237"/>
      <c r="B326" s="237"/>
      <c r="F326" s="524"/>
    </row>
    <row r="327">
      <c r="A327" s="237"/>
      <c r="B327" s="237"/>
      <c r="F327" s="524"/>
    </row>
    <row r="328">
      <c r="A328" s="237"/>
      <c r="B328" s="237"/>
      <c r="F328" s="524"/>
    </row>
    <row r="329">
      <c r="A329" s="237"/>
      <c r="B329" s="237"/>
      <c r="F329" s="524"/>
    </row>
    <row r="330">
      <c r="A330" s="237"/>
      <c r="B330" s="237"/>
      <c r="F330" s="524"/>
    </row>
    <row r="331">
      <c r="A331" s="237"/>
      <c r="B331" s="237"/>
      <c r="F331" s="524"/>
    </row>
    <row r="332">
      <c r="A332" s="237"/>
      <c r="B332" s="237"/>
      <c r="F332" s="524"/>
    </row>
    <row r="333">
      <c r="A333" s="237"/>
      <c r="B333" s="237"/>
      <c r="F333" s="524"/>
    </row>
    <row r="334">
      <c r="A334" s="237"/>
      <c r="B334" s="237"/>
      <c r="F334" s="524"/>
    </row>
    <row r="335">
      <c r="A335" s="237"/>
      <c r="B335" s="237"/>
      <c r="F335" s="524"/>
    </row>
    <row r="336">
      <c r="A336" s="237"/>
      <c r="B336" s="237"/>
      <c r="F336" s="524"/>
    </row>
    <row r="337">
      <c r="A337" s="237"/>
      <c r="B337" s="237"/>
      <c r="F337" s="524"/>
    </row>
    <row r="338">
      <c r="A338" s="237"/>
      <c r="B338" s="237"/>
      <c r="F338" s="524"/>
    </row>
    <row r="339">
      <c r="A339" s="237"/>
      <c r="B339" s="237"/>
      <c r="F339" s="524"/>
    </row>
    <row r="340">
      <c r="A340" s="237"/>
      <c r="B340" s="237"/>
      <c r="F340" s="524"/>
    </row>
    <row r="341">
      <c r="A341" s="237"/>
      <c r="B341" s="237"/>
      <c r="F341" s="524"/>
    </row>
    <row r="342">
      <c r="A342" s="237"/>
      <c r="B342" s="237"/>
      <c r="F342" s="524"/>
    </row>
    <row r="343">
      <c r="A343" s="237"/>
      <c r="B343" s="237"/>
      <c r="F343" s="524"/>
    </row>
    <row r="344">
      <c r="A344" s="237"/>
      <c r="B344" s="237"/>
      <c r="F344" s="524"/>
    </row>
    <row r="345">
      <c r="A345" s="237"/>
      <c r="B345" s="237"/>
      <c r="F345" s="524"/>
    </row>
    <row r="346">
      <c r="A346" s="237"/>
      <c r="B346" s="237"/>
      <c r="F346" s="524"/>
    </row>
    <row r="347">
      <c r="A347" s="237"/>
      <c r="B347" s="237"/>
      <c r="F347" s="524"/>
    </row>
    <row r="348">
      <c r="A348" s="237"/>
      <c r="B348" s="237"/>
      <c r="F348" s="524"/>
    </row>
    <row r="349">
      <c r="A349" s="237"/>
      <c r="B349" s="237"/>
      <c r="F349" s="524"/>
    </row>
    <row r="350">
      <c r="A350" s="237"/>
      <c r="B350" s="237"/>
      <c r="F350" s="524"/>
    </row>
    <row r="351">
      <c r="A351" s="237"/>
      <c r="B351" s="237"/>
      <c r="F351" s="524"/>
    </row>
    <row r="352">
      <c r="A352" s="237"/>
      <c r="B352" s="237"/>
      <c r="F352" s="524"/>
    </row>
    <row r="353">
      <c r="A353" s="237"/>
      <c r="B353" s="237"/>
      <c r="F353" s="524"/>
    </row>
    <row r="354">
      <c r="A354" s="237"/>
      <c r="B354" s="237"/>
      <c r="F354" s="524"/>
    </row>
    <row r="355">
      <c r="A355" s="237"/>
      <c r="B355" s="237"/>
      <c r="F355" s="524"/>
    </row>
    <row r="356">
      <c r="A356" s="237"/>
      <c r="B356" s="237"/>
      <c r="F356" s="524"/>
    </row>
    <row r="357">
      <c r="A357" s="237"/>
      <c r="B357" s="237"/>
      <c r="F357" s="524"/>
    </row>
    <row r="358">
      <c r="A358" s="237"/>
      <c r="B358" s="237"/>
      <c r="F358" s="524"/>
    </row>
    <row r="359">
      <c r="A359" s="237"/>
      <c r="B359" s="237"/>
      <c r="F359" s="524"/>
    </row>
    <row r="360">
      <c r="A360" s="237"/>
      <c r="B360" s="237"/>
      <c r="F360" s="524"/>
    </row>
    <row r="361">
      <c r="A361" s="237"/>
      <c r="B361" s="237"/>
      <c r="F361" s="524"/>
    </row>
    <row r="362">
      <c r="A362" s="237"/>
      <c r="B362" s="237"/>
      <c r="F362" s="524"/>
    </row>
    <row r="363">
      <c r="A363" s="237"/>
      <c r="B363" s="237"/>
      <c r="F363" s="524"/>
    </row>
    <row r="364">
      <c r="A364" s="237"/>
      <c r="B364" s="237"/>
      <c r="F364" s="524"/>
    </row>
    <row r="365">
      <c r="A365" s="237"/>
      <c r="B365" s="237"/>
      <c r="F365" s="524"/>
    </row>
    <row r="366">
      <c r="A366" s="237"/>
      <c r="B366" s="237"/>
      <c r="F366" s="524"/>
    </row>
    <row r="367">
      <c r="A367" s="237"/>
      <c r="B367" s="237"/>
      <c r="F367" s="524"/>
    </row>
    <row r="368">
      <c r="A368" s="237"/>
      <c r="B368" s="237"/>
      <c r="F368" s="524"/>
    </row>
    <row r="369">
      <c r="A369" s="237"/>
      <c r="B369" s="237"/>
      <c r="F369" s="524"/>
    </row>
    <row r="370">
      <c r="A370" s="237"/>
      <c r="B370" s="237"/>
      <c r="F370" s="524"/>
    </row>
    <row r="371">
      <c r="A371" s="237"/>
      <c r="B371" s="237"/>
      <c r="F371" s="524"/>
    </row>
    <row r="372">
      <c r="A372" s="237"/>
      <c r="B372" s="237"/>
      <c r="F372" s="524"/>
    </row>
    <row r="373">
      <c r="A373" s="237"/>
      <c r="B373" s="237"/>
      <c r="F373" s="524"/>
    </row>
    <row r="374">
      <c r="A374" s="237"/>
      <c r="B374" s="237"/>
      <c r="F374" s="524"/>
    </row>
    <row r="375">
      <c r="A375" s="237"/>
      <c r="B375" s="237"/>
      <c r="F375" s="524"/>
    </row>
    <row r="376">
      <c r="A376" s="237"/>
      <c r="B376" s="237"/>
      <c r="F376" s="524"/>
    </row>
    <row r="377">
      <c r="A377" s="237"/>
      <c r="B377" s="237"/>
      <c r="F377" s="524"/>
    </row>
    <row r="378">
      <c r="A378" s="237"/>
      <c r="B378" s="237"/>
      <c r="F378" s="524"/>
    </row>
    <row r="379">
      <c r="A379" s="237"/>
      <c r="B379" s="237"/>
      <c r="F379" s="524"/>
    </row>
    <row r="380">
      <c r="A380" s="237"/>
      <c r="B380" s="237"/>
      <c r="F380" s="524"/>
    </row>
    <row r="381">
      <c r="A381" s="237"/>
      <c r="B381" s="237"/>
      <c r="F381" s="524"/>
    </row>
    <row r="382">
      <c r="A382" s="237"/>
      <c r="B382" s="237"/>
      <c r="F382" s="524"/>
    </row>
    <row r="383">
      <c r="A383" s="237"/>
      <c r="B383" s="237"/>
      <c r="F383" s="524"/>
    </row>
    <row r="384">
      <c r="A384" s="237"/>
      <c r="B384" s="237"/>
      <c r="F384" s="524"/>
    </row>
    <row r="385">
      <c r="A385" s="237"/>
      <c r="B385" s="237"/>
      <c r="F385" s="524"/>
    </row>
    <row r="386">
      <c r="A386" s="237"/>
      <c r="B386" s="237"/>
      <c r="F386" s="524"/>
    </row>
    <row r="387">
      <c r="A387" s="237"/>
      <c r="B387" s="237"/>
      <c r="F387" s="524"/>
    </row>
    <row r="388">
      <c r="A388" s="237"/>
      <c r="B388" s="237"/>
      <c r="F388" s="524"/>
    </row>
    <row r="389">
      <c r="A389" s="237"/>
      <c r="B389" s="237"/>
      <c r="F389" s="524"/>
    </row>
    <row r="390">
      <c r="A390" s="237"/>
      <c r="B390" s="237"/>
      <c r="F390" s="524"/>
    </row>
    <row r="391">
      <c r="A391" s="237"/>
      <c r="B391" s="237"/>
      <c r="F391" s="524"/>
    </row>
    <row r="392">
      <c r="A392" s="237"/>
      <c r="B392" s="237"/>
      <c r="F392" s="524"/>
    </row>
    <row r="393">
      <c r="A393" s="237"/>
      <c r="B393" s="237"/>
      <c r="F393" s="524"/>
    </row>
    <row r="394">
      <c r="A394" s="237"/>
      <c r="B394" s="237"/>
      <c r="F394" s="524"/>
    </row>
    <row r="395">
      <c r="A395" s="237"/>
      <c r="B395" s="237"/>
      <c r="F395" s="524"/>
    </row>
    <row r="396">
      <c r="A396" s="237"/>
      <c r="B396" s="237"/>
      <c r="F396" s="524"/>
    </row>
    <row r="397">
      <c r="A397" s="237"/>
      <c r="B397" s="237"/>
      <c r="F397" s="524"/>
    </row>
    <row r="398">
      <c r="A398" s="237"/>
      <c r="B398" s="237"/>
      <c r="F398" s="524"/>
    </row>
    <row r="399">
      <c r="A399" s="237"/>
      <c r="B399" s="237"/>
      <c r="F399" s="524"/>
    </row>
    <row r="400">
      <c r="A400" s="237"/>
      <c r="B400" s="237"/>
      <c r="F400" s="524"/>
    </row>
    <row r="401">
      <c r="A401" s="237"/>
      <c r="B401" s="237"/>
      <c r="F401" s="524"/>
    </row>
    <row r="402">
      <c r="A402" s="237"/>
      <c r="B402" s="237"/>
      <c r="F402" s="524"/>
    </row>
    <row r="403">
      <c r="A403" s="237"/>
      <c r="B403" s="237"/>
      <c r="F403" s="524"/>
    </row>
    <row r="404">
      <c r="A404" s="237"/>
      <c r="B404" s="237"/>
      <c r="F404" s="524"/>
    </row>
    <row r="405">
      <c r="A405" s="237"/>
      <c r="B405" s="237"/>
      <c r="F405" s="524"/>
    </row>
    <row r="406">
      <c r="A406" s="237"/>
      <c r="B406" s="237"/>
      <c r="F406" s="524"/>
    </row>
    <row r="407">
      <c r="A407" s="237"/>
      <c r="B407" s="237"/>
      <c r="F407" s="524"/>
    </row>
    <row r="408">
      <c r="A408" s="237"/>
      <c r="B408" s="237"/>
      <c r="F408" s="524"/>
    </row>
    <row r="409">
      <c r="A409" s="237"/>
      <c r="B409" s="237"/>
      <c r="F409" s="524"/>
    </row>
    <row r="410">
      <c r="A410" s="237"/>
      <c r="B410" s="237"/>
      <c r="F410" s="524"/>
    </row>
    <row r="411">
      <c r="A411" s="237"/>
      <c r="B411" s="237"/>
      <c r="F411" s="524"/>
    </row>
    <row r="412">
      <c r="A412" s="237"/>
      <c r="B412" s="237"/>
      <c r="F412" s="524"/>
    </row>
    <row r="413">
      <c r="A413" s="237"/>
      <c r="B413" s="237"/>
      <c r="F413" s="524"/>
    </row>
    <row r="414">
      <c r="A414" s="237"/>
      <c r="B414" s="237"/>
      <c r="F414" s="524"/>
    </row>
    <row r="415">
      <c r="A415" s="237"/>
      <c r="B415" s="237"/>
      <c r="F415" s="524"/>
    </row>
    <row r="416">
      <c r="A416" s="237"/>
      <c r="B416" s="237"/>
      <c r="F416" s="524"/>
    </row>
    <row r="417">
      <c r="A417" s="237"/>
      <c r="B417" s="237"/>
      <c r="F417" s="524"/>
    </row>
    <row r="418">
      <c r="A418" s="237"/>
      <c r="B418" s="237"/>
      <c r="F418" s="524"/>
    </row>
    <row r="419">
      <c r="A419" s="237"/>
      <c r="B419" s="237"/>
      <c r="F419" s="524"/>
    </row>
    <row r="420">
      <c r="A420" s="237"/>
      <c r="B420" s="237"/>
      <c r="F420" s="524"/>
    </row>
    <row r="421">
      <c r="A421" s="237"/>
      <c r="B421" s="237"/>
      <c r="F421" s="524"/>
    </row>
    <row r="422">
      <c r="A422" s="237"/>
      <c r="B422" s="237"/>
      <c r="F422" s="524"/>
    </row>
    <row r="423">
      <c r="A423" s="237"/>
      <c r="B423" s="237"/>
      <c r="F423" s="524"/>
    </row>
    <row r="424">
      <c r="A424" s="237"/>
      <c r="B424" s="237"/>
      <c r="F424" s="524"/>
    </row>
    <row r="425">
      <c r="A425" s="237"/>
      <c r="B425" s="237"/>
      <c r="F425" s="524"/>
    </row>
    <row r="426">
      <c r="A426" s="237"/>
      <c r="B426" s="237"/>
      <c r="F426" s="524"/>
    </row>
    <row r="427">
      <c r="A427" s="237"/>
      <c r="B427" s="237"/>
      <c r="F427" s="524"/>
    </row>
    <row r="428">
      <c r="A428" s="237"/>
      <c r="B428" s="237"/>
      <c r="F428" s="524"/>
    </row>
    <row r="429">
      <c r="A429" s="237"/>
      <c r="B429" s="237"/>
      <c r="F429" s="524"/>
    </row>
    <row r="430">
      <c r="A430" s="237"/>
      <c r="B430" s="237"/>
      <c r="F430" s="524"/>
    </row>
    <row r="431">
      <c r="A431" s="237"/>
      <c r="B431" s="237"/>
      <c r="F431" s="524"/>
    </row>
    <row r="432">
      <c r="A432" s="237"/>
      <c r="B432" s="237"/>
      <c r="F432" s="524"/>
    </row>
    <row r="433">
      <c r="A433" s="237"/>
      <c r="B433" s="237"/>
      <c r="F433" s="524"/>
    </row>
    <row r="434">
      <c r="A434" s="237"/>
      <c r="B434" s="237"/>
      <c r="F434" s="524"/>
    </row>
    <row r="435">
      <c r="A435" s="237"/>
      <c r="B435" s="237"/>
      <c r="F435" s="524"/>
    </row>
    <row r="436">
      <c r="A436" s="237"/>
      <c r="B436" s="237"/>
      <c r="F436" s="524"/>
    </row>
    <row r="437">
      <c r="A437" s="237"/>
      <c r="B437" s="237"/>
      <c r="F437" s="524"/>
    </row>
    <row r="438">
      <c r="A438" s="237"/>
      <c r="B438" s="237"/>
      <c r="F438" s="524"/>
    </row>
    <row r="439">
      <c r="A439" s="237"/>
      <c r="B439" s="237"/>
      <c r="F439" s="524"/>
    </row>
    <row r="440">
      <c r="A440" s="237"/>
      <c r="B440" s="237"/>
      <c r="F440" s="524"/>
    </row>
    <row r="441">
      <c r="A441" s="237"/>
      <c r="B441" s="237"/>
      <c r="F441" s="524"/>
    </row>
    <row r="442">
      <c r="A442" s="237"/>
      <c r="B442" s="237"/>
      <c r="F442" s="524"/>
    </row>
    <row r="443">
      <c r="A443" s="237"/>
      <c r="B443" s="237"/>
      <c r="F443" s="524"/>
    </row>
    <row r="444">
      <c r="A444" s="237"/>
      <c r="B444" s="237"/>
      <c r="F444" s="524"/>
    </row>
    <row r="445">
      <c r="A445" s="237"/>
      <c r="B445" s="237"/>
      <c r="F445" s="524"/>
    </row>
    <row r="446">
      <c r="A446" s="237"/>
      <c r="B446" s="237"/>
      <c r="F446" s="524"/>
    </row>
    <row r="447">
      <c r="A447" s="237"/>
      <c r="B447" s="237"/>
      <c r="F447" s="524"/>
    </row>
    <row r="448">
      <c r="A448" s="237"/>
      <c r="B448" s="237"/>
      <c r="F448" s="524"/>
    </row>
    <row r="449">
      <c r="A449" s="237"/>
      <c r="B449" s="237"/>
      <c r="F449" s="524"/>
    </row>
    <row r="450">
      <c r="A450" s="237"/>
      <c r="B450" s="237"/>
      <c r="F450" s="524"/>
    </row>
    <row r="451">
      <c r="A451" s="237"/>
      <c r="B451" s="237"/>
      <c r="F451" s="524"/>
    </row>
    <row r="452">
      <c r="A452" s="237"/>
      <c r="B452" s="237"/>
      <c r="F452" s="524"/>
    </row>
    <row r="453">
      <c r="A453" s="237"/>
      <c r="B453" s="237"/>
      <c r="F453" s="524"/>
    </row>
    <row r="454">
      <c r="A454" s="237"/>
      <c r="B454" s="237"/>
      <c r="F454" s="524"/>
    </row>
    <row r="455">
      <c r="A455" s="237"/>
      <c r="B455" s="237"/>
      <c r="F455" s="524"/>
    </row>
    <row r="456">
      <c r="A456" s="237"/>
      <c r="B456" s="237"/>
      <c r="F456" s="524"/>
    </row>
    <row r="457">
      <c r="A457" s="237"/>
      <c r="B457" s="237"/>
      <c r="F457" s="524"/>
    </row>
    <row r="458">
      <c r="A458" s="237"/>
      <c r="B458" s="237"/>
      <c r="F458" s="524"/>
    </row>
    <row r="459">
      <c r="A459" s="237"/>
      <c r="B459" s="237"/>
      <c r="F459" s="524"/>
    </row>
    <row r="460">
      <c r="A460" s="237"/>
      <c r="B460" s="237"/>
      <c r="F460" s="524"/>
    </row>
    <row r="461">
      <c r="A461" s="237"/>
      <c r="B461" s="237"/>
      <c r="F461" s="524"/>
    </row>
    <row r="462">
      <c r="A462" s="237"/>
      <c r="B462" s="237"/>
      <c r="F462" s="524"/>
    </row>
    <row r="463">
      <c r="A463" s="237"/>
      <c r="B463" s="237"/>
      <c r="F463" s="524"/>
    </row>
    <row r="464">
      <c r="A464" s="237"/>
      <c r="B464" s="237"/>
      <c r="F464" s="524"/>
    </row>
    <row r="465">
      <c r="A465" s="237"/>
      <c r="B465" s="237"/>
      <c r="F465" s="524"/>
    </row>
    <row r="466">
      <c r="A466" s="237"/>
      <c r="B466" s="237"/>
      <c r="F466" s="524"/>
    </row>
    <row r="467">
      <c r="A467" s="237"/>
      <c r="B467" s="237"/>
      <c r="F467" s="524"/>
    </row>
    <row r="468">
      <c r="A468" s="237"/>
      <c r="B468" s="237"/>
      <c r="F468" s="524"/>
    </row>
    <row r="469">
      <c r="A469" s="237"/>
      <c r="B469" s="237"/>
      <c r="F469" s="524"/>
    </row>
    <row r="470">
      <c r="A470" s="237"/>
      <c r="B470" s="237"/>
      <c r="F470" s="524"/>
    </row>
    <row r="471">
      <c r="A471" s="237"/>
      <c r="B471" s="237"/>
      <c r="F471" s="524"/>
    </row>
    <row r="472">
      <c r="A472" s="237"/>
      <c r="B472" s="237"/>
      <c r="F472" s="524"/>
    </row>
    <row r="473">
      <c r="A473" s="237"/>
      <c r="B473" s="237"/>
      <c r="F473" s="524"/>
    </row>
    <row r="474">
      <c r="A474" s="237"/>
      <c r="B474" s="237"/>
      <c r="F474" s="524"/>
    </row>
    <row r="475">
      <c r="A475" s="237"/>
      <c r="B475" s="237"/>
      <c r="F475" s="524"/>
    </row>
    <row r="476">
      <c r="A476" s="237"/>
      <c r="B476" s="237"/>
      <c r="F476" s="524"/>
    </row>
    <row r="477">
      <c r="A477" s="237"/>
      <c r="B477" s="237"/>
      <c r="F477" s="524"/>
    </row>
    <row r="478">
      <c r="A478" s="237"/>
      <c r="B478" s="237"/>
      <c r="F478" s="524"/>
    </row>
    <row r="479">
      <c r="A479" s="237"/>
      <c r="B479" s="237"/>
      <c r="F479" s="524"/>
    </row>
    <row r="480">
      <c r="A480" s="237"/>
      <c r="B480" s="237"/>
      <c r="F480" s="524"/>
    </row>
    <row r="481">
      <c r="A481" s="237"/>
      <c r="B481" s="237"/>
      <c r="F481" s="524"/>
    </row>
    <row r="482">
      <c r="A482" s="237"/>
      <c r="B482" s="237"/>
      <c r="F482" s="524"/>
    </row>
    <row r="483">
      <c r="A483" s="237"/>
      <c r="B483" s="237"/>
      <c r="F483" s="524"/>
    </row>
    <row r="484">
      <c r="A484" s="237"/>
      <c r="B484" s="237"/>
      <c r="F484" s="524"/>
    </row>
    <row r="485">
      <c r="A485" s="237"/>
      <c r="B485" s="237"/>
      <c r="F485" s="524"/>
    </row>
    <row r="486">
      <c r="A486" s="237"/>
      <c r="B486" s="237"/>
      <c r="F486" s="524"/>
    </row>
    <row r="487">
      <c r="A487" s="237"/>
      <c r="B487" s="237"/>
      <c r="F487" s="524"/>
    </row>
    <row r="488">
      <c r="A488" s="237"/>
      <c r="B488" s="237"/>
      <c r="F488" s="524"/>
    </row>
    <row r="489">
      <c r="A489" s="237"/>
      <c r="B489" s="237"/>
      <c r="F489" s="524"/>
    </row>
    <row r="490">
      <c r="A490" s="237"/>
      <c r="B490" s="237"/>
      <c r="F490" s="524"/>
    </row>
    <row r="491">
      <c r="A491" s="237"/>
      <c r="B491" s="237"/>
      <c r="F491" s="524"/>
    </row>
    <row r="492">
      <c r="A492" s="237"/>
      <c r="B492" s="237"/>
      <c r="F492" s="524"/>
    </row>
    <row r="493">
      <c r="A493" s="237"/>
      <c r="B493" s="237"/>
      <c r="F493" s="524"/>
    </row>
    <row r="494">
      <c r="A494" s="237"/>
      <c r="B494" s="237"/>
      <c r="F494" s="524"/>
    </row>
    <row r="495">
      <c r="A495" s="237"/>
      <c r="B495" s="237"/>
      <c r="F495" s="524"/>
    </row>
    <row r="496">
      <c r="A496" s="237"/>
      <c r="B496" s="237"/>
      <c r="F496" s="524"/>
    </row>
    <row r="497">
      <c r="A497" s="237"/>
      <c r="B497" s="237"/>
      <c r="F497" s="524"/>
    </row>
    <row r="498">
      <c r="A498" s="237"/>
      <c r="B498" s="237"/>
      <c r="F498" s="524"/>
    </row>
    <row r="499">
      <c r="A499" s="237"/>
      <c r="B499" s="237"/>
      <c r="F499" s="524"/>
    </row>
    <row r="500">
      <c r="A500" s="237"/>
      <c r="B500" s="237"/>
      <c r="F500" s="524"/>
    </row>
    <row r="501">
      <c r="A501" s="237"/>
      <c r="B501" s="237"/>
      <c r="F501" s="524"/>
    </row>
    <row r="502">
      <c r="A502" s="237"/>
      <c r="B502" s="237"/>
      <c r="F502" s="524"/>
    </row>
    <row r="503">
      <c r="A503" s="237"/>
      <c r="B503" s="237"/>
      <c r="F503" s="524"/>
    </row>
    <row r="504">
      <c r="A504" s="237"/>
      <c r="B504" s="237"/>
      <c r="F504" s="524"/>
    </row>
    <row r="505">
      <c r="A505" s="237"/>
      <c r="B505" s="237"/>
      <c r="F505" s="524"/>
    </row>
    <row r="506">
      <c r="A506" s="237"/>
      <c r="B506" s="237"/>
      <c r="F506" s="524"/>
    </row>
    <row r="507">
      <c r="A507" s="237"/>
      <c r="B507" s="237"/>
      <c r="F507" s="524"/>
    </row>
    <row r="508">
      <c r="A508" s="237"/>
      <c r="B508" s="237"/>
      <c r="F508" s="524"/>
    </row>
    <row r="509">
      <c r="A509" s="237"/>
      <c r="B509" s="237"/>
      <c r="F509" s="524"/>
    </row>
    <row r="510">
      <c r="A510" s="237"/>
      <c r="B510" s="237"/>
      <c r="F510" s="524"/>
    </row>
    <row r="511">
      <c r="A511" s="237"/>
      <c r="B511" s="237"/>
      <c r="F511" s="524"/>
    </row>
    <row r="512">
      <c r="A512" s="237"/>
      <c r="B512" s="237"/>
      <c r="F512" s="524"/>
    </row>
    <row r="513">
      <c r="A513" s="237"/>
      <c r="B513" s="237"/>
      <c r="F513" s="524"/>
    </row>
    <row r="514">
      <c r="A514" s="237"/>
      <c r="B514" s="237"/>
      <c r="F514" s="524"/>
    </row>
    <row r="515">
      <c r="A515" s="237"/>
      <c r="B515" s="237"/>
      <c r="F515" s="524"/>
    </row>
    <row r="516">
      <c r="A516" s="237"/>
      <c r="B516" s="237"/>
      <c r="F516" s="524"/>
    </row>
    <row r="517">
      <c r="A517" s="237"/>
      <c r="B517" s="237"/>
      <c r="F517" s="524"/>
    </row>
    <row r="518">
      <c r="A518" s="237"/>
      <c r="B518" s="237"/>
      <c r="F518" s="524"/>
    </row>
    <row r="519">
      <c r="A519" s="237"/>
      <c r="B519" s="237"/>
      <c r="F519" s="524"/>
    </row>
    <row r="520">
      <c r="A520" s="237"/>
      <c r="B520" s="237"/>
      <c r="F520" s="524"/>
    </row>
    <row r="521">
      <c r="A521" s="237"/>
      <c r="B521" s="237"/>
      <c r="F521" s="524"/>
    </row>
    <row r="522">
      <c r="A522" s="237"/>
      <c r="B522" s="237"/>
      <c r="F522" s="524"/>
    </row>
    <row r="523">
      <c r="A523" s="237"/>
      <c r="B523" s="237"/>
      <c r="F523" s="524"/>
    </row>
    <row r="524">
      <c r="A524" s="237"/>
      <c r="B524" s="237"/>
      <c r="F524" s="524"/>
    </row>
    <row r="525">
      <c r="A525" s="237"/>
      <c r="B525" s="237"/>
      <c r="F525" s="524"/>
    </row>
    <row r="526">
      <c r="A526" s="237"/>
      <c r="B526" s="237"/>
      <c r="F526" s="524"/>
    </row>
    <row r="527">
      <c r="A527" s="237"/>
      <c r="B527" s="237"/>
      <c r="F527" s="524"/>
    </row>
    <row r="528">
      <c r="A528" s="237"/>
      <c r="B528" s="237"/>
      <c r="F528" s="524"/>
    </row>
    <row r="529">
      <c r="A529" s="237"/>
      <c r="B529" s="237"/>
      <c r="F529" s="524"/>
    </row>
    <row r="530">
      <c r="A530" s="237"/>
      <c r="B530" s="237"/>
      <c r="F530" s="524"/>
    </row>
    <row r="531">
      <c r="A531" s="237"/>
      <c r="B531" s="237"/>
      <c r="F531" s="524"/>
    </row>
    <row r="532">
      <c r="A532" s="237"/>
      <c r="B532" s="237"/>
      <c r="F532" s="524"/>
    </row>
    <row r="533">
      <c r="A533" s="237"/>
      <c r="B533" s="237"/>
      <c r="F533" s="524"/>
    </row>
    <row r="534">
      <c r="A534" s="237"/>
      <c r="B534" s="237"/>
      <c r="F534" s="524"/>
    </row>
    <row r="535">
      <c r="A535" s="237"/>
      <c r="B535" s="237"/>
      <c r="F535" s="524"/>
    </row>
    <row r="536">
      <c r="A536" s="237"/>
      <c r="B536" s="237"/>
      <c r="F536" s="524"/>
    </row>
    <row r="537">
      <c r="A537" s="237"/>
      <c r="B537" s="237"/>
      <c r="F537" s="524"/>
    </row>
    <row r="538">
      <c r="A538" s="237"/>
      <c r="B538" s="237"/>
      <c r="F538" s="524"/>
    </row>
    <row r="539">
      <c r="A539" s="237"/>
      <c r="B539" s="237"/>
      <c r="F539" s="524"/>
    </row>
    <row r="540">
      <c r="A540" s="237"/>
      <c r="B540" s="237"/>
      <c r="F540" s="524"/>
    </row>
    <row r="541">
      <c r="A541" s="237"/>
      <c r="B541" s="237"/>
      <c r="F541" s="524"/>
    </row>
    <row r="542">
      <c r="A542" s="237"/>
      <c r="B542" s="237"/>
      <c r="F542" s="524"/>
    </row>
    <row r="543">
      <c r="A543" s="237"/>
      <c r="B543" s="237"/>
      <c r="F543" s="524"/>
    </row>
    <row r="544">
      <c r="A544" s="237"/>
      <c r="B544" s="237"/>
      <c r="F544" s="524"/>
    </row>
    <row r="545">
      <c r="A545" s="237"/>
      <c r="B545" s="237"/>
      <c r="F545" s="524"/>
    </row>
    <row r="546">
      <c r="A546" s="237"/>
      <c r="B546" s="237"/>
      <c r="F546" s="524"/>
    </row>
    <row r="547">
      <c r="A547" s="237"/>
      <c r="B547" s="237"/>
      <c r="F547" s="524"/>
    </row>
    <row r="548">
      <c r="A548" s="237"/>
      <c r="B548" s="237"/>
      <c r="F548" s="524"/>
    </row>
    <row r="549">
      <c r="A549" s="237"/>
      <c r="B549" s="237"/>
      <c r="F549" s="524"/>
    </row>
    <row r="550">
      <c r="A550" s="237"/>
      <c r="B550" s="237"/>
      <c r="F550" s="524"/>
    </row>
    <row r="551">
      <c r="A551" s="237"/>
      <c r="B551" s="237"/>
      <c r="F551" s="524"/>
    </row>
    <row r="552">
      <c r="A552" s="237"/>
      <c r="B552" s="237"/>
      <c r="F552" s="524"/>
    </row>
    <row r="553">
      <c r="A553" s="237"/>
      <c r="B553" s="237"/>
      <c r="F553" s="524"/>
    </row>
    <row r="554">
      <c r="A554" s="237"/>
      <c r="B554" s="237"/>
      <c r="F554" s="524"/>
    </row>
    <row r="555">
      <c r="A555" s="237"/>
      <c r="B555" s="237"/>
      <c r="F555" s="524"/>
    </row>
    <row r="556">
      <c r="A556" s="237"/>
      <c r="B556" s="237"/>
      <c r="F556" s="524"/>
    </row>
    <row r="557">
      <c r="A557" s="237"/>
      <c r="B557" s="237"/>
      <c r="F557" s="524"/>
    </row>
    <row r="558">
      <c r="A558" s="237"/>
      <c r="B558" s="237"/>
      <c r="F558" s="524"/>
    </row>
    <row r="559">
      <c r="A559" s="237"/>
      <c r="B559" s="237"/>
      <c r="F559" s="524"/>
    </row>
    <row r="560">
      <c r="A560" s="237"/>
      <c r="B560" s="237"/>
      <c r="F560" s="524"/>
    </row>
    <row r="561">
      <c r="A561" s="237"/>
      <c r="B561" s="237"/>
      <c r="F561" s="524"/>
    </row>
    <row r="562">
      <c r="A562" s="237"/>
      <c r="B562" s="237"/>
      <c r="F562" s="524"/>
    </row>
    <row r="563">
      <c r="A563" s="237"/>
      <c r="B563" s="237"/>
      <c r="F563" s="524"/>
    </row>
    <row r="564">
      <c r="A564" s="237"/>
      <c r="B564" s="237"/>
      <c r="F564" s="524"/>
    </row>
    <row r="565">
      <c r="A565" s="237"/>
      <c r="B565" s="237"/>
      <c r="F565" s="524"/>
    </row>
    <row r="566">
      <c r="A566" s="237"/>
      <c r="B566" s="237"/>
      <c r="F566" s="524"/>
    </row>
    <row r="567">
      <c r="A567" s="237"/>
      <c r="B567" s="237"/>
      <c r="F567" s="524"/>
    </row>
    <row r="568">
      <c r="A568" s="237"/>
      <c r="B568" s="237"/>
      <c r="F568" s="524"/>
    </row>
    <row r="569">
      <c r="A569" s="237"/>
      <c r="B569" s="237"/>
      <c r="F569" s="524"/>
    </row>
    <row r="570">
      <c r="A570" s="237"/>
      <c r="B570" s="237"/>
      <c r="F570" s="524"/>
    </row>
    <row r="571">
      <c r="A571" s="237"/>
      <c r="B571" s="237"/>
      <c r="F571" s="524"/>
    </row>
    <row r="572">
      <c r="A572" s="237"/>
      <c r="B572" s="237"/>
      <c r="F572" s="524"/>
    </row>
    <row r="573">
      <c r="A573" s="237"/>
      <c r="B573" s="237"/>
      <c r="F573" s="524"/>
    </row>
    <row r="574">
      <c r="A574" s="237"/>
      <c r="B574" s="237"/>
      <c r="F574" s="524"/>
    </row>
    <row r="575">
      <c r="A575" s="237"/>
      <c r="B575" s="237"/>
      <c r="F575" s="524"/>
    </row>
    <row r="576">
      <c r="A576" s="237"/>
      <c r="B576" s="237"/>
      <c r="F576" s="524"/>
    </row>
    <row r="577">
      <c r="A577" s="237"/>
      <c r="B577" s="237"/>
      <c r="F577" s="524"/>
    </row>
    <row r="578">
      <c r="A578" s="237"/>
      <c r="B578" s="237"/>
      <c r="F578" s="524"/>
    </row>
    <row r="579">
      <c r="A579" s="237"/>
      <c r="B579" s="237"/>
      <c r="F579" s="524"/>
    </row>
    <row r="580">
      <c r="A580" s="237"/>
      <c r="B580" s="237"/>
      <c r="F580" s="524"/>
    </row>
    <row r="581">
      <c r="A581" s="237"/>
      <c r="B581" s="237"/>
      <c r="F581" s="524"/>
    </row>
    <row r="582">
      <c r="A582" s="237"/>
      <c r="B582" s="237"/>
      <c r="F582" s="524"/>
    </row>
    <row r="583">
      <c r="A583" s="237"/>
      <c r="B583" s="237"/>
      <c r="F583" s="524"/>
    </row>
    <row r="584">
      <c r="A584" s="237"/>
      <c r="B584" s="237"/>
      <c r="F584" s="524"/>
    </row>
    <row r="585">
      <c r="A585" s="237"/>
      <c r="B585" s="237"/>
      <c r="F585" s="524"/>
    </row>
    <row r="586">
      <c r="A586" s="237"/>
      <c r="B586" s="237"/>
      <c r="F586" s="524"/>
    </row>
    <row r="587">
      <c r="A587" s="237"/>
      <c r="B587" s="237"/>
      <c r="F587" s="524"/>
    </row>
    <row r="588">
      <c r="A588" s="237"/>
      <c r="B588" s="237"/>
      <c r="F588" s="524"/>
    </row>
    <row r="589">
      <c r="A589" s="237"/>
      <c r="B589" s="237"/>
      <c r="F589" s="524"/>
    </row>
    <row r="590">
      <c r="A590" s="237"/>
      <c r="B590" s="237"/>
      <c r="F590" s="524"/>
    </row>
    <row r="591">
      <c r="A591" s="237"/>
      <c r="B591" s="237"/>
      <c r="F591" s="524"/>
    </row>
    <row r="592">
      <c r="A592" s="237"/>
      <c r="B592" s="237"/>
      <c r="F592" s="524"/>
    </row>
    <row r="593">
      <c r="A593" s="237"/>
      <c r="B593" s="237"/>
      <c r="F593" s="524"/>
    </row>
    <row r="594">
      <c r="A594" s="237"/>
      <c r="B594" s="237"/>
      <c r="F594" s="524"/>
    </row>
    <row r="595">
      <c r="A595" s="237"/>
      <c r="B595" s="237"/>
      <c r="F595" s="524"/>
    </row>
    <row r="596">
      <c r="A596" s="237"/>
      <c r="B596" s="237"/>
      <c r="F596" s="524"/>
    </row>
    <row r="597">
      <c r="A597" s="237"/>
      <c r="B597" s="237"/>
      <c r="F597" s="524"/>
    </row>
    <row r="598">
      <c r="A598" s="237"/>
      <c r="B598" s="237"/>
      <c r="F598" s="524"/>
    </row>
    <row r="599">
      <c r="A599" s="237"/>
      <c r="B599" s="237"/>
      <c r="F599" s="524"/>
    </row>
    <row r="600">
      <c r="A600" s="237"/>
      <c r="B600" s="237"/>
      <c r="F600" s="524"/>
    </row>
    <row r="601">
      <c r="A601" s="237"/>
      <c r="B601" s="237"/>
      <c r="F601" s="524"/>
    </row>
    <row r="602">
      <c r="A602" s="237"/>
      <c r="B602" s="237"/>
      <c r="F602" s="524"/>
    </row>
    <row r="603">
      <c r="A603" s="237"/>
      <c r="B603" s="237"/>
      <c r="F603" s="524"/>
    </row>
    <row r="604">
      <c r="A604" s="237"/>
      <c r="B604" s="237"/>
      <c r="F604" s="524"/>
    </row>
    <row r="605">
      <c r="A605" s="237"/>
      <c r="B605" s="237"/>
      <c r="F605" s="524"/>
    </row>
    <row r="606">
      <c r="A606" s="237"/>
      <c r="B606" s="237"/>
      <c r="F606" s="524"/>
    </row>
    <row r="607">
      <c r="A607" s="237"/>
      <c r="B607" s="237"/>
      <c r="F607" s="524"/>
    </row>
    <row r="608">
      <c r="A608" s="237"/>
      <c r="B608" s="237"/>
      <c r="F608" s="524"/>
    </row>
    <row r="609">
      <c r="A609" s="237"/>
      <c r="B609" s="237"/>
      <c r="F609" s="524"/>
    </row>
    <row r="610">
      <c r="A610" s="237"/>
      <c r="B610" s="237"/>
      <c r="F610" s="524"/>
    </row>
    <row r="611">
      <c r="A611" s="237"/>
      <c r="B611" s="237"/>
      <c r="F611" s="524"/>
    </row>
    <row r="612">
      <c r="A612" s="237"/>
      <c r="B612" s="237"/>
      <c r="F612" s="524"/>
    </row>
    <row r="613">
      <c r="A613" s="237"/>
      <c r="B613" s="237"/>
      <c r="F613" s="524"/>
    </row>
    <row r="614">
      <c r="A614" s="237"/>
      <c r="B614" s="237"/>
      <c r="F614" s="524"/>
    </row>
    <row r="615">
      <c r="A615" s="237"/>
      <c r="B615" s="237"/>
      <c r="F615" s="524"/>
    </row>
    <row r="616">
      <c r="A616" s="237"/>
      <c r="B616" s="237"/>
      <c r="F616" s="524"/>
    </row>
    <row r="617">
      <c r="A617" s="237"/>
      <c r="B617" s="237"/>
      <c r="F617" s="524"/>
    </row>
    <row r="618">
      <c r="A618" s="237"/>
      <c r="B618" s="237"/>
      <c r="F618" s="524"/>
    </row>
    <row r="619">
      <c r="A619" s="237"/>
      <c r="B619" s="237"/>
      <c r="F619" s="524"/>
    </row>
    <row r="620">
      <c r="A620" s="237"/>
      <c r="B620" s="237"/>
      <c r="F620" s="524"/>
    </row>
    <row r="621">
      <c r="A621" s="237"/>
      <c r="B621" s="237"/>
      <c r="F621" s="524"/>
    </row>
    <row r="622">
      <c r="A622" s="237"/>
      <c r="B622" s="237"/>
      <c r="F622" s="524"/>
    </row>
    <row r="623">
      <c r="A623" s="237"/>
      <c r="B623" s="237"/>
      <c r="F623" s="524"/>
    </row>
    <row r="624">
      <c r="A624" s="237"/>
      <c r="B624" s="237"/>
      <c r="F624" s="524"/>
    </row>
    <row r="625">
      <c r="A625" s="237"/>
      <c r="B625" s="237"/>
      <c r="F625" s="524"/>
    </row>
    <row r="626">
      <c r="A626" s="237"/>
      <c r="B626" s="237"/>
      <c r="F626" s="524"/>
    </row>
    <row r="627">
      <c r="A627" s="237"/>
      <c r="B627" s="237"/>
      <c r="F627" s="524"/>
    </row>
    <row r="628">
      <c r="A628" s="237"/>
      <c r="B628" s="237"/>
      <c r="F628" s="524"/>
    </row>
    <row r="629">
      <c r="A629" s="237"/>
      <c r="B629" s="237"/>
      <c r="F629" s="524"/>
    </row>
    <row r="630">
      <c r="A630" s="237"/>
      <c r="B630" s="237"/>
      <c r="F630" s="524"/>
    </row>
    <row r="631">
      <c r="A631" s="237"/>
      <c r="B631" s="237"/>
      <c r="F631" s="524"/>
    </row>
    <row r="632">
      <c r="A632" s="237"/>
      <c r="B632" s="237"/>
      <c r="F632" s="524"/>
    </row>
    <row r="633">
      <c r="A633" s="237"/>
      <c r="B633" s="237"/>
      <c r="F633" s="524"/>
    </row>
    <row r="634">
      <c r="A634" s="237"/>
      <c r="B634" s="237"/>
      <c r="F634" s="524"/>
    </row>
    <row r="635">
      <c r="A635" s="237"/>
      <c r="B635" s="237"/>
      <c r="F635" s="524"/>
    </row>
    <row r="636">
      <c r="A636" s="237"/>
      <c r="B636" s="237"/>
      <c r="F636" s="524"/>
    </row>
    <row r="637">
      <c r="A637" s="237"/>
      <c r="B637" s="237"/>
      <c r="F637" s="524"/>
    </row>
    <row r="638">
      <c r="A638" s="237"/>
      <c r="B638" s="237"/>
      <c r="F638" s="524"/>
    </row>
    <row r="639">
      <c r="A639" s="237"/>
      <c r="B639" s="237"/>
      <c r="F639" s="524"/>
    </row>
    <row r="640">
      <c r="A640" s="237"/>
      <c r="B640" s="237"/>
      <c r="F640" s="524"/>
    </row>
    <row r="641">
      <c r="A641" s="237"/>
      <c r="B641" s="237"/>
      <c r="F641" s="524"/>
    </row>
    <row r="642">
      <c r="A642" s="237"/>
      <c r="B642" s="237"/>
      <c r="F642" s="524"/>
    </row>
    <row r="643">
      <c r="A643" s="237"/>
      <c r="B643" s="237"/>
      <c r="F643" s="524"/>
    </row>
    <row r="644">
      <c r="A644" s="237"/>
      <c r="B644" s="237"/>
      <c r="F644" s="524"/>
    </row>
    <row r="645">
      <c r="A645" s="237"/>
      <c r="B645" s="237"/>
      <c r="F645" s="524"/>
    </row>
    <row r="646">
      <c r="A646" s="237"/>
      <c r="B646" s="237"/>
      <c r="F646" s="524"/>
    </row>
    <row r="647">
      <c r="A647" s="237"/>
      <c r="B647" s="237"/>
      <c r="F647" s="524"/>
    </row>
    <row r="648">
      <c r="A648" s="237"/>
      <c r="B648" s="237"/>
      <c r="F648" s="524"/>
    </row>
    <row r="649">
      <c r="A649" s="237"/>
      <c r="B649" s="237"/>
      <c r="F649" s="524"/>
    </row>
    <row r="650">
      <c r="A650" s="237"/>
      <c r="B650" s="237"/>
      <c r="F650" s="524"/>
    </row>
    <row r="651">
      <c r="A651" s="237"/>
      <c r="B651" s="237"/>
      <c r="F651" s="524"/>
    </row>
    <row r="652">
      <c r="A652" s="237"/>
      <c r="B652" s="237"/>
      <c r="F652" s="524"/>
    </row>
    <row r="653">
      <c r="A653" s="237"/>
      <c r="B653" s="237"/>
      <c r="F653" s="524"/>
    </row>
    <row r="654">
      <c r="A654" s="237"/>
      <c r="B654" s="237"/>
      <c r="F654" s="524"/>
    </row>
    <row r="655">
      <c r="A655" s="237"/>
      <c r="B655" s="237"/>
      <c r="F655" s="524"/>
    </row>
    <row r="656">
      <c r="A656" s="237"/>
      <c r="B656" s="237"/>
      <c r="F656" s="524"/>
    </row>
    <row r="657">
      <c r="A657" s="237"/>
      <c r="B657" s="237"/>
      <c r="F657" s="524"/>
    </row>
    <row r="658">
      <c r="A658" s="237"/>
      <c r="B658" s="237"/>
      <c r="F658" s="524"/>
    </row>
    <row r="659">
      <c r="A659" s="237"/>
      <c r="B659" s="237"/>
      <c r="F659" s="524"/>
    </row>
    <row r="660">
      <c r="A660" s="237"/>
      <c r="B660" s="237"/>
      <c r="F660" s="524"/>
    </row>
    <row r="661">
      <c r="A661" s="237"/>
      <c r="B661" s="237"/>
      <c r="F661" s="524"/>
    </row>
    <row r="662">
      <c r="A662" s="237"/>
      <c r="B662" s="237"/>
      <c r="F662" s="524"/>
    </row>
    <row r="663">
      <c r="A663" s="237"/>
      <c r="B663" s="237"/>
      <c r="F663" s="524"/>
    </row>
    <row r="664">
      <c r="A664" s="237"/>
      <c r="B664" s="237"/>
      <c r="F664" s="524"/>
    </row>
    <row r="665">
      <c r="A665" s="237"/>
      <c r="B665" s="237"/>
      <c r="F665" s="524"/>
    </row>
    <row r="666">
      <c r="A666" s="237"/>
      <c r="B666" s="237"/>
      <c r="F666" s="524"/>
    </row>
    <row r="667">
      <c r="A667" s="237"/>
      <c r="B667" s="237"/>
      <c r="F667" s="524"/>
    </row>
    <row r="668">
      <c r="A668" s="237"/>
      <c r="B668" s="237"/>
      <c r="F668" s="524"/>
    </row>
    <row r="669">
      <c r="A669" s="237"/>
      <c r="B669" s="237"/>
      <c r="F669" s="524"/>
    </row>
    <row r="670">
      <c r="A670" s="237"/>
      <c r="B670" s="237"/>
      <c r="F670" s="524"/>
    </row>
    <row r="671">
      <c r="A671" s="237"/>
      <c r="B671" s="237"/>
      <c r="F671" s="524"/>
    </row>
    <row r="672">
      <c r="A672" s="237"/>
      <c r="B672" s="237"/>
      <c r="F672" s="524"/>
    </row>
    <row r="673">
      <c r="A673" s="237"/>
      <c r="B673" s="237"/>
      <c r="F673" s="524"/>
    </row>
    <row r="674">
      <c r="A674" s="237"/>
      <c r="B674" s="237"/>
      <c r="F674" s="524"/>
    </row>
    <row r="675">
      <c r="A675" s="237"/>
      <c r="B675" s="237"/>
      <c r="F675" s="524"/>
    </row>
    <row r="676">
      <c r="A676" s="237"/>
      <c r="B676" s="237"/>
      <c r="F676" s="524"/>
    </row>
    <row r="677">
      <c r="A677" s="237"/>
      <c r="B677" s="237"/>
      <c r="F677" s="524"/>
    </row>
    <row r="678">
      <c r="A678" s="237"/>
      <c r="B678" s="237"/>
      <c r="F678" s="524"/>
    </row>
    <row r="679">
      <c r="A679" s="237"/>
      <c r="B679" s="237"/>
      <c r="F679" s="524"/>
    </row>
    <row r="680">
      <c r="A680" s="237"/>
      <c r="B680" s="237"/>
      <c r="F680" s="524"/>
    </row>
    <row r="681">
      <c r="A681" s="237"/>
      <c r="B681" s="237"/>
      <c r="F681" s="524"/>
    </row>
    <row r="682">
      <c r="A682" s="237"/>
      <c r="B682" s="237"/>
      <c r="F682" s="524"/>
    </row>
    <row r="683">
      <c r="A683" s="237"/>
      <c r="B683" s="237"/>
      <c r="F683" s="524"/>
    </row>
    <row r="684">
      <c r="A684" s="237"/>
      <c r="B684" s="237"/>
      <c r="F684" s="524"/>
    </row>
    <row r="685">
      <c r="A685" s="237"/>
      <c r="B685" s="237"/>
      <c r="F685" s="524"/>
    </row>
    <row r="686">
      <c r="A686" s="237"/>
      <c r="B686" s="237"/>
      <c r="F686" s="524"/>
    </row>
    <row r="687">
      <c r="A687" s="237"/>
      <c r="B687" s="237"/>
      <c r="F687" s="524"/>
    </row>
    <row r="688">
      <c r="A688" s="237"/>
      <c r="B688" s="237"/>
      <c r="F688" s="524"/>
    </row>
    <row r="689">
      <c r="A689" s="237"/>
      <c r="B689" s="237"/>
      <c r="F689" s="524"/>
    </row>
    <row r="690">
      <c r="A690" s="237"/>
      <c r="B690" s="237"/>
      <c r="F690" s="524"/>
    </row>
    <row r="691">
      <c r="A691" s="237"/>
      <c r="B691" s="237"/>
      <c r="F691" s="524"/>
    </row>
    <row r="692">
      <c r="A692" s="237"/>
      <c r="B692" s="237"/>
      <c r="F692" s="524"/>
    </row>
    <row r="693">
      <c r="A693" s="237"/>
      <c r="B693" s="237"/>
      <c r="F693" s="524"/>
    </row>
    <row r="694">
      <c r="A694" s="237"/>
      <c r="B694" s="237"/>
      <c r="F694" s="524"/>
    </row>
    <row r="695">
      <c r="A695" s="237"/>
      <c r="B695" s="237"/>
      <c r="F695" s="524"/>
    </row>
    <row r="696">
      <c r="A696" s="237"/>
      <c r="B696" s="237"/>
      <c r="F696" s="524"/>
    </row>
    <row r="697">
      <c r="A697" s="237"/>
      <c r="B697" s="237"/>
      <c r="F697" s="524"/>
    </row>
    <row r="698">
      <c r="A698" s="237"/>
      <c r="B698" s="237"/>
      <c r="F698" s="524"/>
    </row>
    <row r="699">
      <c r="A699" s="237"/>
      <c r="B699" s="237"/>
      <c r="F699" s="524"/>
    </row>
    <row r="700">
      <c r="A700" s="237"/>
      <c r="B700" s="237"/>
      <c r="F700" s="524"/>
    </row>
    <row r="701">
      <c r="A701" s="237"/>
      <c r="B701" s="237"/>
      <c r="F701" s="524"/>
    </row>
    <row r="702">
      <c r="A702" s="237"/>
      <c r="B702" s="237"/>
      <c r="F702" s="524"/>
    </row>
    <row r="703">
      <c r="A703" s="237"/>
      <c r="B703" s="237"/>
      <c r="F703" s="524"/>
    </row>
    <row r="704">
      <c r="A704" s="237"/>
      <c r="B704" s="237"/>
      <c r="F704" s="524"/>
    </row>
    <row r="705">
      <c r="A705" s="237"/>
      <c r="B705" s="237"/>
      <c r="F705" s="524"/>
    </row>
    <row r="706">
      <c r="A706" s="237"/>
      <c r="B706" s="237"/>
      <c r="F706" s="524"/>
    </row>
    <row r="707">
      <c r="A707" s="237"/>
      <c r="B707" s="237"/>
      <c r="F707" s="524"/>
    </row>
    <row r="708">
      <c r="A708" s="237"/>
      <c r="B708" s="237"/>
      <c r="F708" s="524"/>
    </row>
    <row r="709">
      <c r="A709" s="237"/>
      <c r="B709" s="237"/>
      <c r="F709" s="524"/>
    </row>
    <row r="710">
      <c r="A710" s="237"/>
      <c r="B710" s="237"/>
      <c r="F710" s="524"/>
    </row>
    <row r="711">
      <c r="A711" s="237"/>
      <c r="B711" s="237"/>
      <c r="F711" s="524"/>
    </row>
    <row r="712">
      <c r="A712" s="237"/>
      <c r="B712" s="237"/>
      <c r="F712" s="524"/>
    </row>
    <row r="713">
      <c r="A713" s="237"/>
      <c r="B713" s="237"/>
      <c r="F713" s="524"/>
    </row>
    <row r="714">
      <c r="A714" s="237"/>
      <c r="B714" s="237"/>
      <c r="F714" s="524"/>
    </row>
    <row r="715">
      <c r="A715" s="237"/>
      <c r="B715" s="237"/>
      <c r="F715" s="524"/>
    </row>
    <row r="716">
      <c r="A716" s="237"/>
      <c r="B716" s="237"/>
      <c r="F716" s="524"/>
    </row>
    <row r="717">
      <c r="A717" s="237"/>
      <c r="B717" s="237"/>
      <c r="F717" s="524"/>
    </row>
    <row r="718">
      <c r="A718" s="237"/>
      <c r="B718" s="237"/>
      <c r="F718" s="524"/>
    </row>
    <row r="719">
      <c r="A719" s="237"/>
      <c r="B719" s="237"/>
      <c r="F719" s="524"/>
    </row>
    <row r="720">
      <c r="A720" s="237"/>
      <c r="B720" s="237"/>
      <c r="F720" s="524"/>
    </row>
    <row r="721">
      <c r="A721" s="237"/>
      <c r="B721" s="237"/>
      <c r="F721" s="524"/>
    </row>
    <row r="722">
      <c r="A722" s="237"/>
      <c r="B722" s="237"/>
      <c r="F722" s="524"/>
    </row>
    <row r="723">
      <c r="A723" s="237"/>
      <c r="B723" s="237"/>
      <c r="F723" s="524"/>
    </row>
    <row r="724">
      <c r="A724" s="237"/>
      <c r="B724" s="237"/>
      <c r="F724" s="524"/>
    </row>
    <row r="725">
      <c r="A725" s="237"/>
      <c r="B725" s="237"/>
      <c r="F725" s="524"/>
    </row>
    <row r="726">
      <c r="A726" s="237"/>
      <c r="B726" s="237"/>
      <c r="F726" s="524"/>
    </row>
    <row r="727">
      <c r="A727" s="237"/>
      <c r="B727" s="237"/>
      <c r="F727" s="524"/>
    </row>
    <row r="728">
      <c r="A728" s="237"/>
      <c r="B728" s="237"/>
      <c r="F728" s="524"/>
    </row>
    <row r="729">
      <c r="A729" s="237"/>
      <c r="B729" s="237"/>
      <c r="F729" s="524"/>
    </row>
    <row r="730">
      <c r="A730" s="237"/>
      <c r="B730" s="237"/>
      <c r="F730" s="524"/>
    </row>
    <row r="731">
      <c r="A731" s="237"/>
      <c r="B731" s="237"/>
      <c r="F731" s="524"/>
    </row>
    <row r="732">
      <c r="A732" s="237"/>
      <c r="B732" s="237"/>
      <c r="F732" s="524"/>
    </row>
    <row r="733">
      <c r="A733" s="237"/>
      <c r="B733" s="237"/>
      <c r="F733" s="524"/>
    </row>
    <row r="734">
      <c r="A734" s="237"/>
      <c r="B734" s="237"/>
      <c r="F734" s="524"/>
    </row>
    <row r="735">
      <c r="A735" s="237"/>
      <c r="B735" s="237"/>
      <c r="F735" s="524"/>
    </row>
    <row r="736">
      <c r="A736" s="237"/>
      <c r="B736" s="237"/>
      <c r="F736" s="524"/>
    </row>
    <row r="737">
      <c r="A737" s="237"/>
      <c r="B737" s="237"/>
      <c r="F737" s="524"/>
    </row>
    <row r="738">
      <c r="A738" s="237"/>
      <c r="B738" s="237"/>
      <c r="F738" s="524"/>
    </row>
    <row r="739">
      <c r="A739" s="237"/>
      <c r="B739" s="237"/>
      <c r="F739" s="524"/>
    </row>
    <row r="740">
      <c r="A740" s="237"/>
      <c r="B740" s="237"/>
      <c r="F740" s="524"/>
    </row>
    <row r="741">
      <c r="A741" s="237"/>
      <c r="B741" s="237"/>
      <c r="F741" s="524"/>
    </row>
    <row r="742">
      <c r="A742" s="237"/>
      <c r="B742" s="237"/>
      <c r="F742" s="524"/>
    </row>
    <row r="743">
      <c r="A743" s="237"/>
      <c r="B743" s="237"/>
      <c r="F743" s="524"/>
    </row>
    <row r="744">
      <c r="A744" s="237"/>
      <c r="B744" s="237"/>
      <c r="F744" s="524"/>
    </row>
    <row r="745">
      <c r="A745" s="237"/>
      <c r="B745" s="237"/>
      <c r="F745" s="524"/>
    </row>
    <row r="746">
      <c r="A746" s="237"/>
      <c r="B746" s="237"/>
      <c r="F746" s="524"/>
    </row>
    <row r="747">
      <c r="A747" s="237"/>
      <c r="B747" s="237"/>
      <c r="F747" s="524"/>
    </row>
    <row r="748">
      <c r="A748" s="237"/>
      <c r="B748" s="237"/>
      <c r="F748" s="524"/>
    </row>
    <row r="749">
      <c r="A749" s="237"/>
      <c r="B749" s="237"/>
      <c r="F749" s="524"/>
    </row>
    <row r="750">
      <c r="A750" s="237"/>
      <c r="B750" s="237"/>
      <c r="F750" s="524"/>
    </row>
    <row r="751">
      <c r="A751" s="237"/>
      <c r="B751" s="237"/>
      <c r="F751" s="524"/>
    </row>
    <row r="752">
      <c r="A752" s="237"/>
      <c r="B752" s="237"/>
      <c r="F752" s="524"/>
    </row>
    <row r="753">
      <c r="A753" s="237"/>
      <c r="B753" s="237"/>
      <c r="F753" s="524"/>
    </row>
    <row r="754">
      <c r="A754" s="237"/>
      <c r="B754" s="237"/>
      <c r="F754" s="524"/>
    </row>
    <row r="755">
      <c r="A755" s="237"/>
      <c r="B755" s="237"/>
      <c r="F755" s="524"/>
    </row>
    <row r="756">
      <c r="A756" s="237"/>
      <c r="B756" s="237"/>
      <c r="F756" s="524"/>
    </row>
    <row r="757">
      <c r="A757" s="237"/>
      <c r="B757" s="237"/>
      <c r="F757" s="524"/>
    </row>
    <row r="758">
      <c r="A758" s="237"/>
      <c r="B758" s="237"/>
      <c r="F758" s="524"/>
    </row>
    <row r="759">
      <c r="A759" s="237"/>
      <c r="B759" s="237"/>
      <c r="F759" s="524"/>
    </row>
    <row r="760">
      <c r="A760" s="237"/>
      <c r="B760" s="237"/>
      <c r="F760" s="524"/>
    </row>
    <row r="761">
      <c r="A761" s="237"/>
      <c r="B761" s="237"/>
      <c r="F761" s="524"/>
    </row>
    <row r="762">
      <c r="A762" s="237"/>
      <c r="B762" s="237"/>
      <c r="F762" s="524"/>
    </row>
    <row r="763">
      <c r="A763" s="237"/>
      <c r="B763" s="237"/>
      <c r="F763" s="524"/>
    </row>
    <row r="764">
      <c r="A764" s="237"/>
      <c r="B764" s="237"/>
      <c r="F764" s="524"/>
    </row>
    <row r="765">
      <c r="A765" s="237"/>
      <c r="B765" s="237"/>
      <c r="F765" s="524"/>
    </row>
    <row r="766">
      <c r="A766" s="237"/>
      <c r="B766" s="237"/>
      <c r="F766" s="524"/>
    </row>
    <row r="767">
      <c r="A767" s="237"/>
      <c r="B767" s="237"/>
      <c r="F767" s="524"/>
    </row>
    <row r="768">
      <c r="A768" s="237"/>
      <c r="B768" s="237"/>
      <c r="F768" s="524"/>
    </row>
    <row r="769">
      <c r="A769" s="237"/>
      <c r="B769" s="237"/>
      <c r="F769" s="524"/>
    </row>
    <row r="770">
      <c r="A770" s="237"/>
      <c r="B770" s="237"/>
      <c r="F770" s="524"/>
    </row>
    <row r="771">
      <c r="A771" s="237"/>
      <c r="B771" s="237"/>
      <c r="F771" s="524"/>
    </row>
    <row r="772">
      <c r="A772" s="237"/>
      <c r="B772" s="237"/>
      <c r="F772" s="524"/>
    </row>
    <row r="773">
      <c r="A773" s="237"/>
      <c r="B773" s="237"/>
      <c r="F773" s="524"/>
    </row>
    <row r="774">
      <c r="A774" s="237"/>
      <c r="B774" s="237"/>
      <c r="F774" s="524"/>
    </row>
    <row r="775">
      <c r="A775" s="237"/>
      <c r="B775" s="237"/>
      <c r="F775" s="524"/>
    </row>
    <row r="776">
      <c r="A776" s="237"/>
      <c r="B776" s="237"/>
      <c r="F776" s="524"/>
    </row>
    <row r="777">
      <c r="A777" s="237"/>
      <c r="B777" s="237"/>
      <c r="F777" s="524"/>
    </row>
    <row r="778">
      <c r="A778" s="237"/>
      <c r="B778" s="237"/>
      <c r="F778" s="524"/>
    </row>
    <row r="779">
      <c r="A779" s="237"/>
      <c r="B779" s="237"/>
      <c r="F779" s="524"/>
    </row>
    <row r="780">
      <c r="A780" s="237"/>
      <c r="B780" s="237"/>
      <c r="F780" s="524"/>
    </row>
    <row r="781">
      <c r="A781" s="237"/>
      <c r="B781" s="237"/>
      <c r="F781" s="524"/>
    </row>
    <row r="782">
      <c r="A782" s="237"/>
      <c r="B782" s="237"/>
      <c r="F782" s="524"/>
    </row>
    <row r="783">
      <c r="A783" s="237"/>
      <c r="B783" s="237"/>
      <c r="F783" s="524"/>
    </row>
    <row r="784">
      <c r="A784" s="237"/>
      <c r="B784" s="237"/>
      <c r="F784" s="524"/>
    </row>
    <row r="785">
      <c r="A785" s="237"/>
      <c r="B785" s="237"/>
      <c r="F785" s="524"/>
    </row>
    <row r="786">
      <c r="A786" s="237"/>
      <c r="B786" s="237"/>
      <c r="F786" s="524"/>
    </row>
    <row r="787">
      <c r="A787" s="237"/>
      <c r="B787" s="237"/>
      <c r="F787" s="524"/>
    </row>
    <row r="788">
      <c r="A788" s="237"/>
      <c r="B788" s="237"/>
      <c r="F788" s="524"/>
    </row>
    <row r="789">
      <c r="A789" s="237"/>
      <c r="B789" s="237"/>
      <c r="F789" s="524"/>
    </row>
    <row r="790">
      <c r="A790" s="237"/>
      <c r="B790" s="237"/>
      <c r="F790" s="524"/>
    </row>
    <row r="791">
      <c r="A791" s="237"/>
      <c r="B791" s="237"/>
      <c r="F791" s="524"/>
    </row>
    <row r="792">
      <c r="A792" s="237"/>
      <c r="B792" s="237"/>
      <c r="F792" s="524"/>
    </row>
    <row r="793">
      <c r="A793" s="237"/>
      <c r="B793" s="237"/>
      <c r="F793" s="524"/>
    </row>
    <row r="794">
      <c r="A794" s="237"/>
      <c r="B794" s="237"/>
      <c r="F794" s="524"/>
    </row>
    <row r="795">
      <c r="A795" s="237"/>
      <c r="B795" s="237"/>
      <c r="F795" s="524"/>
    </row>
    <row r="796">
      <c r="A796" s="237"/>
      <c r="B796" s="237"/>
      <c r="F796" s="524"/>
    </row>
    <row r="797">
      <c r="A797" s="237"/>
      <c r="B797" s="237"/>
      <c r="F797" s="524"/>
    </row>
    <row r="798">
      <c r="A798" s="237"/>
      <c r="B798" s="237"/>
      <c r="F798" s="524"/>
    </row>
    <row r="799">
      <c r="A799" s="237"/>
      <c r="B799" s="237"/>
      <c r="F799" s="524"/>
    </row>
    <row r="800">
      <c r="A800" s="237"/>
      <c r="B800" s="237"/>
      <c r="F800" s="524"/>
    </row>
    <row r="801">
      <c r="A801" s="237"/>
      <c r="B801" s="237"/>
      <c r="F801" s="524"/>
    </row>
    <row r="802">
      <c r="A802" s="237"/>
      <c r="B802" s="237"/>
      <c r="F802" s="524"/>
    </row>
    <row r="803">
      <c r="A803" s="237"/>
      <c r="B803" s="237"/>
      <c r="F803" s="524"/>
    </row>
    <row r="804">
      <c r="A804" s="237"/>
      <c r="B804" s="237"/>
      <c r="F804" s="524"/>
    </row>
    <row r="805">
      <c r="A805" s="237"/>
      <c r="B805" s="237"/>
      <c r="F805" s="524"/>
    </row>
    <row r="806">
      <c r="A806" s="237"/>
      <c r="B806" s="237"/>
      <c r="F806" s="524"/>
    </row>
    <row r="807">
      <c r="A807" s="237"/>
      <c r="B807" s="237"/>
      <c r="F807" s="524"/>
    </row>
    <row r="808">
      <c r="A808" s="237"/>
      <c r="B808" s="237"/>
      <c r="F808" s="524"/>
    </row>
    <row r="809">
      <c r="A809" s="237"/>
      <c r="B809" s="237"/>
      <c r="F809" s="524"/>
    </row>
    <row r="810">
      <c r="A810" s="237"/>
      <c r="B810" s="237"/>
      <c r="F810" s="524"/>
    </row>
    <row r="811">
      <c r="A811" s="237"/>
      <c r="B811" s="237"/>
      <c r="F811" s="524"/>
    </row>
    <row r="812">
      <c r="A812" s="237"/>
      <c r="B812" s="237"/>
      <c r="F812" s="524"/>
    </row>
    <row r="813">
      <c r="A813" s="237"/>
      <c r="B813" s="237"/>
      <c r="F813" s="524"/>
    </row>
    <row r="814">
      <c r="A814" s="237"/>
      <c r="B814" s="237"/>
      <c r="F814" s="524"/>
    </row>
    <row r="815">
      <c r="A815" s="237"/>
      <c r="B815" s="237"/>
      <c r="F815" s="524"/>
    </row>
    <row r="816">
      <c r="A816" s="237"/>
      <c r="B816" s="237"/>
      <c r="F816" s="524"/>
    </row>
    <row r="817">
      <c r="A817" s="237"/>
      <c r="B817" s="237"/>
      <c r="F817" s="524"/>
    </row>
    <row r="818">
      <c r="A818" s="237"/>
      <c r="B818" s="237"/>
      <c r="F818" s="524"/>
    </row>
    <row r="819">
      <c r="A819" s="237"/>
      <c r="B819" s="237"/>
      <c r="F819" s="524"/>
    </row>
    <row r="820">
      <c r="A820" s="237"/>
      <c r="B820" s="237"/>
      <c r="F820" s="524"/>
    </row>
    <row r="821">
      <c r="A821" s="237"/>
      <c r="B821" s="237"/>
      <c r="F821" s="524"/>
    </row>
    <row r="822">
      <c r="A822" s="237"/>
      <c r="B822" s="237"/>
      <c r="F822" s="524"/>
    </row>
    <row r="823">
      <c r="A823" s="237"/>
      <c r="B823" s="237"/>
      <c r="F823" s="524"/>
    </row>
    <row r="824">
      <c r="A824" s="237"/>
      <c r="B824" s="237"/>
      <c r="F824" s="524"/>
    </row>
    <row r="825">
      <c r="A825" s="237"/>
      <c r="B825" s="237"/>
      <c r="F825" s="524"/>
    </row>
    <row r="826">
      <c r="A826" s="237"/>
      <c r="B826" s="237"/>
      <c r="F826" s="524"/>
    </row>
    <row r="827">
      <c r="A827" s="237"/>
      <c r="B827" s="237"/>
      <c r="F827" s="524"/>
    </row>
    <row r="828">
      <c r="A828" s="237"/>
      <c r="B828" s="237"/>
      <c r="F828" s="524"/>
    </row>
    <row r="829">
      <c r="A829" s="237"/>
      <c r="B829" s="237"/>
      <c r="F829" s="524"/>
    </row>
    <row r="830">
      <c r="A830" s="237"/>
      <c r="B830" s="237"/>
      <c r="F830" s="524"/>
    </row>
    <row r="831">
      <c r="A831" s="237"/>
      <c r="B831" s="237"/>
      <c r="F831" s="524"/>
    </row>
    <row r="832">
      <c r="A832" s="237"/>
      <c r="B832" s="237"/>
      <c r="F832" s="524"/>
    </row>
    <row r="833">
      <c r="A833" s="237"/>
      <c r="B833" s="237"/>
      <c r="F833" s="524"/>
    </row>
    <row r="834">
      <c r="A834" s="237"/>
      <c r="B834" s="237"/>
      <c r="F834" s="524"/>
    </row>
    <row r="835">
      <c r="A835" s="237"/>
      <c r="B835" s="237"/>
      <c r="F835" s="524"/>
    </row>
    <row r="836">
      <c r="A836" s="237"/>
      <c r="B836" s="237"/>
      <c r="F836" s="524"/>
    </row>
    <row r="837">
      <c r="A837" s="237"/>
      <c r="B837" s="237"/>
      <c r="F837" s="524"/>
    </row>
    <row r="838">
      <c r="A838" s="237"/>
      <c r="B838" s="237"/>
      <c r="F838" s="524"/>
    </row>
    <row r="839">
      <c r="A839" s="237"/>
      <c r="B839" s="237"/>
      <c r="F839" s="524"/>
    </row>
    <row r="840">
      <c r="A840" s="237"/>
      <c r="B840" s="237"/>
      <c r="F840" s="524"/>
    </row>
    <row r="841">
      <c r="A841" s="237"/>
      <c r="B841" s="237"/>
      <c r="F841" s="524"/>
    </row>
    <row r="842">
      <c r="A842" s="237"/>
      <c r="B842" s="237"/>
      <c r="F842" s="524"/>
    </row>
    <row r="843">
      <c r="A843" s="237"/>
      <c r="B843" s="237"/>
      <c r="F843" s="524"/>
    </row>
    <row r="844">
      <c r="A844" s="237"/>
      <c r="B844" s="237"/>
      <c r="F844" s="524"/>
    </row>
    <row r="845">
      <c r="A845" s="237"/>
      <c r="B845" s="237"/>
      <c r="F845" s="524"/>
    </row>
    <row r="846">
      <c r="A846" s="237"/>
      <c r="B846" s="237"/>
      <c r="F846" s="524"/>
    </row>
    <row r="847">
      <c r="A847" s="237"/>
      <c r="B847" s="237"/>
      <c r="F847" s="524"/>
    </row>
    <row r="848">
      <c r="A848" s="237"/>
      <c r="B848" s="237"/>
      <c r="F848" s="524"/>
    </row>
    <row r="849">
      <c r="A849" s="237"/>
      <c r="B849" s="237"/>
      <c r="F849" s="524"/>
    </row>
    <row r="850">
      <c r="A850" s="237"/>
      <c r="B850" s="237"/>
      <c r="F850" s="524"/>
    </row>
    <row r="851">
      <c r="A851" s="237"/>
      <c r="B851" s="237"/>
      <c r="F851" s="524"/>
    </row>
    <row r="852">
      <c r="A852" s="237"/>
      <c r="B852" s="237"/>
      <c r="F852" s="524"/>
    </row>
    <row r="853">
      <c r="A853" s="237"/>
      <c r="B853" s="237"/>
      <c r="F853" s="524"/>
    </row>
    <row r="854">
      <c r="A854" s="237"/>
      <c r="B854" s="237"/>
      <c r="F854" s="524"/>
    </row>
    <row r="855">
      <c r="A855" s="237"/>
      <c r="B855" s="237"/>
      <c r="F855" s="524"/>
    </row>
    <row r="856">
      <c r="A856" s="237"/>
      <c r="B856" s="237"/>
      <c r="F856" s="524"/>
    </row>
    <row r="857">
      <c r="A857" s="237"/>
      <c r="B857" s="237"/>
      <c r="F857" s="524"/>
    </row>
    <row r="858">
      <c r="A858" s="237"/>
      <c r="B858" s="237"/>
      <c r="F858" s="524"/>
    </row>
    <row r="859">
      <c r="A859" s="237"/>
      <c r="B859" s="237"/>
      <c r="F859" s="524"/>
    </row>
    <row r="860">
      <c r="A860" s="237"/>
      <c r="B860" s="237"/>
      <c r="F860" s="524"/>
    </row>
    <row r="861">
      <c r="A861" s="237"/>
      <c r="B861" s="237"/>
      <c r="F861" s="524"/>
    </row>
    <row r="862">
      <c r="A862" s="237"/>
      <c r="B862" s="237"/>
      <c r="F862" s="524"/>
    </row>
    <row r="863">
      <c r="A863" s="237"/>
      <c r="B863" s="237"/>
      <c r="F863" s="524"/>
    </row>
    <row r="864">
      <c r="A864" s="237"/>
      <c r="B864" s="237"/>
      <c r="F864" s="524"/>
    </row>
    <row r="865">
      <c r="A865" s="237"/>
      <c r="B865" s="237"/>
      <c r="F865" s="524"/>
    </row>
    <row r="866">
      <c r="A866" s="237"/>
      <c r="B866" s="237"/>
      <c r="F866" s="524"/>
    </row>
    <row r="867">
      <c r="A867" s="237"/>
      <c r="B867" s="237"/>
      <c r="F867" s="524"/>
    </row>
    <row r="868">
      <c r="A868" s="237"/>
      <c r="B868" s="237"/>
      <c r="F868" s="524"/>
    </row>
    <row r="869">
      <c r="A869" s="237"/>
      <c r="B869" s="237"/>
      <c r="F869" s="524"/>
    </row>
    <row r="870">
      <c r="A870" s="237"/>
      <c r="B870" s="237"/>
      <c r="F870" s="524"/>
    </row>
    <row r="871">
      <c r="A871" s="237"/>
      <c r="B871" s="237"/>
      <c r="F871" s="524"/>
    </row>
    <row r="872">
      <c r="A872" s="237"/>
      <c r="B872" s="237"/>
      <c r="F872" s="524"/>
    </row>
    <row r="873">
      <c r="A873" s="237"/>
      <c r="B873" s="237"/>
      <c r="F873" s="524"/>
    </row>
    <row r="874">
      <c r="A874" s="237"/>
      <c r="B874" s="237"/>
      <c r="F874" s="524"/>
    </row>
    <row r="875">
      <c r="A875" s="237"/>
      <c r="B875" s="237"/>
      <c r="F875" s="524"/>
    </row>
    <row r="876">
      <c r="A876" s="237"/>
      <c r="B876" s="237"/>
      <c r="F876" s="524"/>
    </row>
    <row r="877">
      <c r="A877" s="237"/>
      <c r="B877" s="237"/>
      <c r="F877" s="524"/>
    </row>
    <row r="878">
      <c r="A878" s="237"/>
      <c r="B878" s="237"/>
      <c r="F878" s="524"/>
    </row>
    <row r="879">
      <c r="A879" s="237"/>
      <c r="B879" s="237"/>
      <c r="F879" s="524"/>
    </row>
    <row r="880">
      <c r="A880" s="237"/>
      <c r="B880" s="237"/>
      <c r="F880" s="524"/>
    </row>
    <row r="881">
      <c r="A881" s="237"/>
      <c r="B881" s="237"/>
      <c r="F881" s="524"/>
    </row>
    <row r="882">
      <c r="A882" s="237"/>
      <c r="B882" s="237"/>
      <c r="F882" s="524"/>
    </row>
    <row r="883">
      <c r="A883" s="237"/>
      <c r="B883" s="237"/>
      <c r="F883" s="524"/>
    </row>
    <row r="884">
      <c r="A884" s="237"/>
      <c r="B884" s="237"/>
      <c r="F884" s="524"/>
    </row>
    <row r="885">
      <c r="A885" s="237"/>
      <c r="B885" s="237"/>
      <c r="F885" s="524"/>
    </row>
    <row r="886">
      <c r="A886" s="237"/>
      <c r="B886" s="237"/>
      <c r="F886" s="524"/>
    </row>
    <row r="887">
      <c r="A887" s="237"/>
      <c r="B887" s="237"/>
      <c r="F887" s="524"/>
    </row>
    <row r="888">
      <c r="A888" s="237"/>
      <c r="B888" s="237"/>
      <c r="F888" s="524"/>
    </row>
    <row r="889">
      <c r="A889" s="237"/>
      <c r="B889" s="237"/>
      <c r="F889" s="524"/>
    </row>
    <row r="890">
      <c r="A890" s="237"/>
      <c r="B890" s="237"/>
      <c r="F890" s="524"/>
    </row>
    <row r="891">
      <c r="A891" s="237"/>
      <c r="B891" s="237"/>
      <c r="F891" s="524"/>
    </row>
    <row r="892">
      <c r="A892" s="237"/>
      <c r="B892" s="237"/>
      <c r="F892" s="524"/>
    </row>
    <row r="893">
      <c r="A893" s="237"/>
      <c r="B893" s="237"/>
      <c r="F893" s="524"/>
    </row>
    <row r="894">
      <c r="A894" s="237"/>
      <c r="B894" s="237"/>
      <c r="F894" s="524"/>
    </row>
    <row r="895">
      <c r="A895" s="237"/>
      <c r="B895" s="237"/>
      <c r="F895" s="524"/>
    </row>
    <row r="896">
      <c r="A896" s="237"/>
      <c r="B896" s="237"/>
      <c r="F896" s="524"/>
    </row>
    <row r="897">
      <c r="A897" s="237"/>
      <c r="B897" s="237"/>
      <c r="F897" s="524"/>
    </row>
    <row r="898">
      <c r="A898" s="237"/>
      <c r="B898" s="237"/>
      <c r="F898" s="524"/>
    </row>
    <row r="899">
      <c r="A899" s="237"/>
      <c r="B899" s="237"/>
      <c r="F899" s="524"/>
    </row>
    <row r="900">
      <c r="A900" s="237"/>
      <c r="B900" s="237"/>
      <c r="F900" s="524"/>
    </row>
    <row r="901">
      <c r="A901" s="237"/>
      <c r="B901" s="237"/>
      <c r="F901" s="524"/>
    </row>
    <row r="902">
      <c r="A902" s="237"/>
      <c r="B902" s="237"/>
      <c r="F902" s="524"/>
    </row>
    <row r="903">
      <c r="A903" s="237"/>
      <c r="B903" s="237"/>
      <c r="F903" s="524"/>
    </row>
    <row r="904">
      <c r="A904" s="237"/>
      <c r="B904" s="237"/>
      <c r="F904" s="524"/>
    </row>
    <row r="905">
      <c r="A905" s="237"/>
      <c r="B905" s="237"/>
      <c r="F905" s="524"/>
    </row>
    <row r="906">
      <c r="A906" s="237"/>
      <c r="B906" s="237"/>
      <c r="F906" s="524"/>
    </row>
    <row r="907">
      <c r="A907" s="237"/>
      <c r="B907" s="237"/>
      <c r="F907" s="524"/>
    </row>
    <row r="908">
      <c r="A908" s="237"/>
      <c r="B908" s="237"/>
      <c r="F908" s="524"/>
    </row>
    <row r="909">
      <c r="A909" s="237"/>
      <c r="B909" s="237"/>
      <c r="F909" s="524"/>
    </row>
    <row r="910">
      <c r="A910" s="237"/>
      <c r="B910" s="237"/>
      <c r="F910" s="524"/>
    </row>
    <row r="911">
      <c r="A911" s="237"/>
      <c r="B911" s="237"/>
      <c r="F911" s="524"/>
    </row>
    <row r="912">
      <c r="A912" s="237"/>
      <c r="B912" s="237"/>
      <c r="F912" s="524"/>
    </row>
    <row r="913">
      <c r="A913" s="237"/>
      <c r="B913" s="237"/>
      <c r="F913" s="524"/>
    </row>
    <row r="914">
      <c r="A914" s="237"/>
      <c r="B914" s="237"/>
      <c r="F914" s="524"/>
    </row>
    <row r="915">
      <c r="A915" s="237"/>
      <c r="B915" s="237"/>
      <c r="F915" s="524"/>
    </row>
    <row r="916">
      <c r="A916" s="237"/>
      <c r="B916" s="237"/>
      <c r="F916" s="524"/>
    </row>
    <row r="917">
      <c r="A917" s="237"/>
      <c r="B917" s="237"/>
      <c r="F917" s="524"/>
    </row>
    <row r="918">
      <c r="A918" s="237"/>
      <c r="B918" s="237"/>
      <c r="F918" s="524"/>
    </row>
    <row r="919">
      <c r="A919" s="237"/>
      <c r="B919" s="237"/>
      <c r="F919" s="524"/>
    </row>
    <row r="920">
      <c r="A920" s="237"/>
      <c r="B920" s="237"/>
      <c r="F920" s="524"/>
    </row>
    <row r="921">
      <c r="A921" s="237"/>
      <c r="B921" s="237"/>
      <c r="F921" s="524"/>
    </row>
    <row r="922">
      <c r="A922" s="237"/>
      <c r="B922" s="237"/>
      <c r="F922" s="524"/>
    </row>
    <row r="923">
      <c r="A923" s="237"/>
      <c r="B923" s="237"/>
      <c r="F923" s="524"/>
    </row>
    <row r="924">
      <c r="A924" s="237"/>
      <c r="B924" s="237"/>
      <c r="F924" s="524"/>
    </row>
    <row r="925">
      <c r="A925" s="237"/>
      <c r="B925" s="237"/>
      <c r="F925" s="524"/>
    </row>
    <row r="926">
      <c r="A926" s="237"/>
      <c r="B926" s="237"/>
      <c r="F926" s="524"/>
    </row>
    <row r="927">
      <c r="A927" s="237"/>
      <c r="B927" s="237"/>
      <c r="F927" s="524"/>
    </row>
    <row r="928">
      <c r="A928" s="237"/>
      <c r="B928" s="237"/>
      <c r="F928" s="524"/>
    </row>
    <row r="929">
      <c r="A929" s="237"/>
      <c r="B929" s="237"/>
      <c r="F929" s="524"/>
    </row>
    <row r="930">
      <c r="A930" s="237"/>
      <c r="B930" s="237"/>
      <c r="F930" s="524"/>
    </row>
    <row r="931">
      <c r="A931" s="237"/>
      <c r="B931" s="237"/>
      <c r="F931" s="524"/>
    </row>
    <row r="932">
      <c r="A932" s="237"/>
      <c r="B932" s="237"/>
      <c r="F932" s="524"/>
    </row>
    <row r="933">
      <c r="A933" s="237"/>
      <c r="B933" s="237"/>
      <c r="F933" s="524"/>
    </row>
    <row r="934">
      <c r="A934" s="237"/>
      <c r="B934" s="237"/>
      <c r="F934" s="524"/>
    </row>
    <row r="935">
      <c r="A935" s="237"/>
      <c r="B935" s="237"/>
      <c r="F935" s="524"/>
    </row>
    <row r="936">
      <c r="A936" s="237"/>
      <c r="B936" s="237"/>
      <c r="F936" s="524"/>
    </row>
    <row r="937">
      <c r="A937" s="237"/>
      <c r="B937" s="237"/>
      <c r="F937" s="524"/>
    </row>
    <row r="938">
      <c r="A938" s="237"/>
      <c r="B938" s="237"/>
      <c r="F938" s="524"/>
    </row>
    <row r="939">
      <c r="A939" s="237"/>
      <c r="B939" s="237"/>
      <c r="F939" s="524"/>
    </row>
    <row r="940">
      <c r="A940" s="237"/>
      <c r="B940" s="237"/>
      <c r="F940" s="524"/>
    </row>
    <row r="941">
      <c r="A941" s="237"/>
      <c r="B941" s="237"/>
      <c r="F941" s="524"/>
    </row>
    <row r="942">
      <c r="A942" s="237"/>
      <c r="B942" s="237"/>
      <c r="F942" s="524"/>
    </row>
    <row r="943">
      <c r="A943" s="237"/>
      <c r="B943" s="237"/>
      <c r="F943" s="524"/>
    </row>
    <row r="944">
      <c r="A944" s="237"/>
      <c r="B944" s="237"/>
      <c r="F944" s="524"/>
    </row>
    <row r="945">
      <c r="A945" s="237"/>
      <c r="B945" s="237"/>
      <c r="F945" s="524"/>
    </row>
    <row r="946">
      <c r="A946" s="237"/>
      <c r="B946" s="237"/>
      <c r="F946" s="524"/>
    </row>
    <row r="947">
      <c r="A947" s="237"/>
      <c r="B947" s="237"/>
      <c r="F947" s="524"/>
    </row>
    <row r="948">
      <c r="A948" s="237"/>
      <c r="B948" s="237"/>
      <c r="F948" s="524"/>
    </row>
    <row r="949">
      <c r="A949" s="237"/>
      <c r="B949" s="237"/>
      <c r="F949" s="524"/>
    </row>
    <row r="950">
      <c r="A950" s="237"/>
      <c r="B950" s="237"/>
      <c r="F950" s="524"/>
    </row>
    <row r="951">
      <c r="A951" s="237"/>
      <c r="B951" s="237"/>
      <c r="F951" s="524"/>
    </row>
    <row r="952">
      <c r="A952" s="237"/>
      <c r="B952" s="237"/>
      <c r="F952" s="524"/>
    </row>
    <row r="953">
      <c r="A953" s="237"/>
      <c r="B953" s="237"/>
      <c r="F953" s="524"/>
    </row>
    <row r="954">
      <c r="A954" s="237"/>
      <c r="B954" s="237"/>
      <c r="F954" s="524"/>
    </row>
    <row r="955">
      <c r="A955" s="237"/>
      <c r="B955" s="237"/>
      <c r="F955" s="524"/>
    </row>
    <row r="956">
      <c r="A956" s="237"/>
      <c r="B956" s="237"/>
      <c r="F956" s="524"/>
    </row>
    <row r="957">
      <c r="A957" s="237"/>
      <c r="B957" s="237"/>
      <c r="F957" s="524"/>
    </row>
    <row r="958">
      <c r="A958" s="237"/>
      <c r="B958" s="237"/>
      <c r="F958" s="524"/>
    </row>
    <row r="959">
      <c r="A959" s="237"/>
      <c r="B959" s="237"/>
      <c r="F959" s="524"/>
    </row>
    <row r="960">
      <c r="A960" s="237"/>
      <c r="B960" s="237"/>
      <c r="F960" s="524"/>
    </row>
    <row r="961">
      <c r="A961" s="237"/>
      <c r="B961" s="237"/>
      <c r="F961" s="524"/>
    </row>
    <row r="962">
      <c r="A962" s="237"/>
      <c r="B962" s="237"/>
      <c r="F962" s="524"/>
    </row>
    <row r="963">
      <c r="A963" s="237"/>
      <c r="B963" s="237"/>
      <c r="F963" s="524"/>
    </row>
    <row r="964">
      <c r="A964" s="237"/>
      <c r="B964" s="237"/>
      <c r="F964" s="524"/>
    </row>
    <row r="965">
      <c r="A965" s="237"/>
      <c r="B965" s="237"/>
      <c r="F965" s="524"/>
    </row>
    <row r="966">
      <c r="A966" s="237"/>
      <c r="B966" s="237"/>
      <c r="F966" s="524"/>
    </row>
    <row r="967">
      <c r="A967" s="237"/>
      <c r="B967" s="237"/>
      <c r="F967" s="524"/>
    </row>
    <row r="968">
      <c r="A968" s="237"/>
      <c r="B968" s="237"/>
      <c r="F968" s="524"/>
    </row>
    <row r="969">
      <c r="A969" s="237"/>
      <c r="B969" s="237"/>
      <c r="F969" s="524"/>
    </row>
    <row r="970">
      <c r="A970" s="237"/>
      <c r="B970" s="237"/>
      <c r="F970" s="524"/>
    </row>
    <row r="971">
      <c r="A971" s="237"/>
      <c r="B971" s="237"/>
      <c r="F971" s="524"/>
    </row>
    <row r="972">
      <c r="A972" s="237"/>
      <c r="B972" s="237"/>
      <c r="F972" s="524"/>
    </row>
    <row r="973">
      <c r="A973" s="237"/>
      <c r="B973" s="237"/>
      <c r="F973" s="524"/>
    </row>
    <row r="974">
      <c r="A974" s="237"/>
      <c r="B974" s="237"/>
      <c r="F974" s="524"/>
    </row>
    <row r="975">
      <c r="A975" s="237"/>
      <c r="B975" s="237"/>
      <c r="F975" s="524"/>
    </row>
    <row r="976">
      <c r="A976" s="237"/>
      <c r="B976" s="237"/>
      <c r="F976" s="524"/>
    </row>
    <row r="977">
      <c r="A977" s="237"/>
      <c r="B977" s="237"/>
      <c r="F977" s="524"/>
    </row>
    <row r="978">
      <c r="A978" s="237"/>
      <c r="B978" s="237"/>
      <c r="F978" s="524"/>
    </row>
    <row r="979">
      <c r="A979" s="237"/>
      <c r="B979" s="237"/>
      <c r="F979" s="524"/>
    </row>
    <row r="980">
      <c r="A980" s="237"/>
      <c r="B980" s="237"/>
      <c r="F980" s="524"/>
    </row>
    <row r="981">
      <c r="A981" s="237"/>
      <c r="B981" s="237"/>
      <c r="F981" s="524"/>
    </row>
    <row r="982">
      <c r="A982" s="237"/>
      <c r="B982" s="237"/>
      <c r="F982" s="524"/>
    </row>
    <row r="983">
      <c r="A983" s="237"/>
      <c r="B983" s="237"/>
      <c r="F983" s="524"/>
    </row>
    <row r="984">
      <c r="A984" s="237"/>
      <c r="B984" s="237"/>
      <c r="F984" s="524"/>
    </row>
    <row r="985">
      <c r="A985" s="237"/>
      <c r="B985" s="237"/>
      <c r="F985" s="524"/>
    </row>
    <row r="986">
      <c r="A986" s="237"/>
      <c r="B986" s="237"/>
      <c r="F986" s="524"/>
    </row>
    <row r="987">
      <c r="A987" s="237"/>
      <c r="B987" s="237"/>
      <c r="F987" s="524"/>
    </row>
    <row r="988">
      <c r="A988" s="237"/>
      <c r="B988" s="237"/>
      <c r="F988" s="524"/>
    </row>
    <row r="989">
      <c r="A989" s="237"/>
      <c r="B989" s="237"/>
      <c r="F989" s="524"/>
    </row>
    <row r="990">
      <c r="A990" s="237"/>
      <c r="B990" s="237"/>
      <c r="F990" s="524"/>
    </row>
    <row r="991">
      <c r="A991" s="237"/>
      <c r="B991" s="237"/>
      <c r="F991" s="524"/>
    </row>
    <row r="992">
      <c r="A992" s="237"/>
      <c r="B992" s="237"/>
      <c r="F992" s="524"/>
    </row>
    <row r="993">
      <c r="A993" s="237"/>
      <c r="B993" s="237"/>
      <c r="F993" s="524"/>
    </row>
    <row r="994">
      <c r="A994" s="237"/>
      <c r="B994" s="237"/>
      <c r="F994" s="524"/>
    </row>
    <row r="995">
      <c r="A995" s="237"/>
      <c r="B995" s="237"/>
      <c r="F995" s="524"/>
    </row>
    <row r="996">
      <c r="A996" s="237"/>
      <c r="B996" s="237"/>
      <c r="F996" s="524"/>
    </row>
    <row r="997">
      <c r="A997" s="237"/>
      <c r="B997" s="237"/>
      <c r="F997" s="524"/>
    </row>
    <row r="998">
      <c r="A998" s="237"/>
      <c r="B998" s="237"/>
      <c r="F998" s="524"/>
    </row>
    <row r="999">
      <c r="A999" s="237"/>
      <c r="B999" s="237"/>
      <c r="F999" s="524"/>
    </row>
    <row r="1000">
      <c r="A1000" s="237"/>
      <c r="B1000" s="237"/>
      <c r="F1000" s="524"/>
    </row>
  </sheetData>
  <mergeCells count="2">
    <mergeCell ref="B40:J40"/>
    <mergeCell ref="K40:S40"/>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6.44"/>
    <col customWidth="1" min="2" max="10" width="10.44"/>
    <col customWidth="1" min="11" max="11" width="13.0"/>
    <col customWidth="1" min="12" max="15" width="10.44"/>
    <col customWidth="1" min="16" max="16" width="11.44"/>
    <col customWidth="1" min="17" max="18" width="15.44"/>
    <col customWidth="1" min="19" max="19" width="10.44"/>
    <col customWidth="1" min="20" max="20" width="19.44"/>
    <col customWidth="1" min="21" max="26" width="10.44"/>
  </cols>
  <sheetData>
    <row r="1">
      <c r="A1" s="909" t="s">
        <v>701</v>
      </c>
      <c r="B1" s="2"/>
      <c r="C1" s="2"/>
      <c r="D1" s="2"/>
      <c r="E1" s="2"/>
      <c r="F1" s="2"/>
      <c r="G1" s="2"/>
      <c r="H1" s="2"/>
      <c r="I1" s="2"/>
      <c r="J1" s="2"/>
      <c r="K1" s="2"/>
      <c r="L1" s="2"/>
      <c r="M1" s="2"/>
      <c r="N1" s="2"/>
      <c r="O1" s="2"/>
    </row>
    <row r="2">
      <c r="A2" s="909" t="s">
        <v>703</v>
      </c>
      <c r="B2" s="2"/>
      <c r="C2" s="2"/>
      <c r="D2" s="2"/>
      <c r="E2" s="2"/>
      <c r="F2" s="2"/>
      <c r="G2" s="2"/>
      <c r="H2" s="2"/>
      <c r="I2" s="2"/>
      <c r="J2" s="2"/>
      <c r="K2" s="2"/>
      <c r="L2" s="2"/>
      <c r="M2" s="2"/>
      <c r="N2" s="2"/>
      <c r="O2" s="2"/>
    </row>
    <row r="3">
      <c r="A3" s="425" t="s">
        <v>705</v>
      </c>
    </row>
    <row r="4">
      <c r="A4" s="425" t="s">
        <v>707</v>
      </c>
    </row>
    <row r="5">
      <c r="A5" s="425" t="s">
        <v>708</v>
      </c>
    </row>
    <row r="6" ht="176.25" customHeight="1">
      <c r="A6" s="425" t="s">
        <v>709</v>
      </c>
    </row>
    <row r="7" ht="78.75" customHeight="1">
      <c r="A7" s="425" t="s">
        <v>710</v>
      </c>
    </row>
    <row r="8" ht="81.0" customHeight="1">
      <c r="A8" s="425" t="s">
        <v>711</v>
      </c>
    </row>
    <row r="9" ht="18.0" customHeight="1">
      <c r="A9" s="425"/>
    </row>
    <row r="10">
      <c r="A10" s="90" t="s">
        <v>712</v>
      </c>
      <c r="B10" s="14" t="s">
        <v>30</v>
      </c>
      <c r="C10" s="506"/>
      <c r="D10" s="910"/>
      <c r="E10" s="910"/>
      <c r="F10" s="911"/>
      <c r="G10" s="14" t="s">
        <v>714</v>
      </c>
      <c r="H10" s="506"/>
      <c r="I10" s="506"/>
      <c r="J10" s="506"/>
      <c r="K10" s="508"/>
      <c r="L10" s="14" t="s">
        <v>31</v>
      </c>
      <c r="M10" s="5"/>
      <c r="N10" s="467" t="s">
        <v>30</v>
      </c>
    </row>
    <row r="11">
      <c r="A11" s="90"/>
      <c r="B11" s="913" t="s">
        <v>650</v>
      </c>
      <c r="C11" s="914" t="s">
        <v>715</v>
      </c>
      <c r="D11" s="915" t="s">
        <v>5</v>
      </c>
      <c r="E11" s="915" t="s">
        <v>6</v>
      </c>
      <c r="F11" s="917" t="s">
        <v>7</v>
      </c>
      <c r="G11" s="913" t="s">
        <v>650</v>
      </c>
      <c r="H11" s="914" t="s">
        <v>715</v>
      </c>
      <c r="I11" s="915" t="s">
        <v>5</v>
      </c>
      <c r="J11" s="915" t="s">
        <v>6</v>
      </c>
      <c r="K11" s="917" t="s">
        <v>7</v>
      </c>
      <c r="L11" s="913" t="s">
        <v>650</v>
      </c>
      <c r="M11" s="918" t="s">
        <v>715</v>
      </c>
      <c r="N11" s="919" t="s">
        <v>718</v>
      </c>
    </row>
    <row r="12">
      <c r="A12" s="635" t="s">
        <v>719</v>
      </c>
      <c r="B12" s="920">
        <v>224576.95</v>
      </c>
      <c r="C12" s="721">
        <v>53.0</v>
      </c>
      <c r="D12" s="921">
        <v>83.0</v>
      </c>
      <c r="E12" s="921">
        <v>95.2</v>
      </c>
      <c r="F12" s="922">
        <v>105.8</v>
      </c>
      <c r="G12" s="920">
        <v>18483.32</v>
      </c>
      <c r="H12" s="721">
        <v>47.9</v>
      </c>
      <c r="I12" s="921">
        <v>70.3</v>
      </c>
      <c r="J12" s="921">
        <v>79.6</v>
      </c>
      <c r="K12" s="922">
        <v>89.9</v>
      </c>
      <c r="L12" s="920">
        <v>21989.49</v>
      </c>
      <c r="M12" s="923">
        <v>66.0</v>
      </c>
      <c r="N12" s="924">
        <v>0.28</v>
      </c>
    </row>
    <row r="13">
      <c r="A13" s="635" t="s">
        <v>721</v>
      </c>
      <c r="B13" s="920">
        <v>754335.33</v>
      </c>
      <c r="C13" s="721">
        <v>50.0</v>
      </c>
      <c r="D13" s="921">
        <v>22.5</v>
      </c>
      <c r="E13" s="921">
        <v>27.7</v>
      </c>
      <c r="F13" s="922">
        <v>31.3</v>
      </c>
      <c r="G13" s="920">
        <v>72639.43</v>
      </c>
      <c r="H13" s="721">
        <v>51.1</v>
      </c>
      <c r="I13" s="921">
        <v>21.6</v>
      </c>
      <c r="J13" s="921">
        <v>23.8</v>
      </c>
      <c r="K13" s="922">
        <v>25.6</v>
      </c>
      <c r="L13" s="920">
        <v>35926.21</v>
      </c>
      <c r="M13" s="923">
        <v>89.0</v>
      </c>
      <c r="N13" s="924">
        <v>0.11</v>
      </c>
    </row>
    <row r="14">
      <c r="A14" s="635" t="s">
        <v>722</v>
      </c>
      <c r="B14" s="920">
        <v>3768232.53</v>
      </c>
      <c r="C14" s="721">
        <v>52.51</v>
      </c>
      <c r="D14" s="921">
        <v>10.0</v>
      </c>
      <c r="E14" s="921">
        <v>13.1</v>
      </c>
      <c r="F14" s="922">
        <v>14.7</v>
      </c>
      <c r="G14" s="920">
        <v>171863.06</v>
      </c>
      <c r="H14" s="721">
        <v>43.6</v>
      </c>
      <c r="I14" s="921">
        <v>9.4</v>
      </c>
      <c r="J14" s="921">
        <v>10.9</v>
      </c>
      <c r="K14" s="922">
        <v>12.1</v>
      </c>
      <c r="L14" s="920">
        <v>175835.07</v>
      </c>
      <c r="M14" s="923">
        <v>94.0</v>
      </c>
      <c r="N14" s="925">
        <v>0.058</v>
      </c>
    </row>
    <row r="15">
      <c r="A15" s="724" t="s">
        <v>723</v>
      </c>
      <c r="B15" s="920">
        <v>3164104.44</v>
      </c>
      <c r="C15" s="721">
        <v>51.8</v>
      </c>
      <c r="D15" s="921">
        <v>6.8</v>
      </c>
      <c r="E15" s="921">
        <v>8.0</v>
      </c>
      <c r="F15" s="922">
        <v>9.0</v>
      </c>
      <c r="G15" s="920">
        <v>182021.82</v>
      </c>
      <c r="H15" s="721">
        <v>51.8</v>
      </c>
      <c r="I15" s="921">
        <v>6.2</v>
      </c>
      <c r="J15" s="921">
        <v>6.9</v>
      </c>
      <c r="K15" s="922">
        <v>7.8</v>
      </c>
      <c r="L15" s="920">
        <v>151126.68</v>
      </c>
      <c r="M15" s="923">
        <v>80.4</v>
      </c>
      <c r="N15" s="925">
        <v>0.038</v>
      </c>
    </row>
    <row r="16">
      <c r="A16" s="724" t="s">
        <v>724</v>
      </c>
      <c r="B16" s="920">
        <v>2762323.83</v>
      </c>
      <c r="C16" s="721">
        <v>49.8</v>
      </c>
      <c r="D16" s="921">
        <v>2.9</v>
      </c>
      <c r="E16" s="921">
        <v>3.3</v>
      </c>
      <c r="F16" s="922">
        <v>3.7</v>
      </c>
      <c r="G16" s="920">
        <v>151166.45</v>
      </c>
      <c r="H16" s="721">
        <v>48.6</v>
      </c>
      <c r="I16" s="921">
        <v>2.6</v>
      </c>
      <c r="J16" s="921">
        <v>2.9</v>
      </c>
      <c r="K16" s="922">
        <v>3.3</v>
      </c>
      <c r="L16" s="920">
        <v>112846.89</v>
      </c>
      <c r="M16" s="923">
        <v>89.3</v>
      </c>
      <c r="N16" s="925">
        <v>0.016</v>
      </c>
    </row>
    <row r="17">
      <c r="A17" s="724" t="s">
        <v>725</v>
      </c>
      <c r="B17" s="920">
        <v>2665424.05</v>
      </c>
      <c r="C17" s="721">
        <v>50.7</v>
      </c>
      <c r="D17" s="921">
        <v>1.3</v>
      </c>
      <c r="E17" s="921">
        <v>1.4</v>
      </c>
      <c r="F17" s="922">
        <v>1.6</v>
      </c>
      <c r="G17" s="920">
        <v>144042.72</v>
      </c>
      <c r="H17" s="721">
        <v>45.3</v>
      </c>
      <c r="I17" s="921">
        <v>1.1</v>
      </c>
      <c r="J17" s="921">
        <v>1.2</v>
      </c>
      <c r="K17" s="922">
        <v>1.4</v>
      </c>
      <c r="L17" s="920">
        <v>89915.77</v>
      </c>
      <c r="M17" s="923">
        <v>86.6</v>
      </c>
      <c r="N17" s="925">
        <v>0.007</v>
      </c>
    </row>
    <row r="18">
      <c r="A18" s="635" t="s">
        <v>726</v>
      </c>
      <c r="B18" s="926">
        <v>2474442.88</v>
      </c>
      <c r="C18" s="927">
        <v>51.6</v>
      </c>
      <c r="D18" s="928"/>
      <c r="E18" s="928"/>
      <c r="F18" s="929"/>
      <c r="G18" s="926">
        <v>125777.2</v>
      </c>
      <c r="H18" s="927">
        <v>52.7</v>
      </c>
      <c r="I18" s="928"/>
      <c r="J18" s="928"/>
      <c r="K18" s="929"/>
      <c r="L18" s="926">
        <v>106033.9</v>
      </c>
      <c r="M18" s="930">
        <v>79.8</v>
      </c>
      <c r="N18" s="929"/>
    </row>
    <row r="19" ht="54.0" customHeight="1">
      <c r="A19" s="425" t="s">
        <v>727</v>
      </c>
    </row>
    <row r="20">
      <c r="A20" s="90" t="s">
        <v>728</v>
      </c>
      <c r="B20" s="430" t="s">
        <v>30</v>
      </c>
      <c r="C20" s="323" t="s">
        <v>31</v>
      </c>
      <c r="D20" s="324" t="s">
        <v>714</v>
      </c>
    </row>
    <row r="21">
      <c r="A21" s="635" t="s">
        <v>715</v>
      </c>
      <c r="B21" s="932">
        <v>54.4</v>
      </c>
      <c r="C21" s="927">
        <v>87.9</v>
      </c>
      <c r="D21" s="930">
        <v>50.6</v>
      </c>
    </row>
    <row r="22">
      <c r="A22" s="425"/>
    </row>
    <row r="23">
      <c r="A23" s="425"/>
    </row>
    <row r="24" ht="33.75" customHeight="1">
      <c r="A24" s="90" t="s">
        <v>729</v>
      </c>
      <c r="B24" s="14" t="s">
        <v>30</v>
      </c>
      <c r="C24" s="506"/>
      <c r="D24" s="506"/>
      <c r="E24" s="934" t="s">
        <v>731</v>
      </c>
      <c r="F24" s="14" t="s">
        <v>31</v>
      </c>
      <c r="G24" s="506"/>
      <c r="H24" s="506"/>
      <c r="I24" s="934" t="s">
        <v>731</v>
      </c>
      <c r="J24" s="14" t="s">
        <v>32</v>
      </c>
      <c r="K24" s="506"/>
      <c r="L24" s="506"/>
      <c r="M24" s="934" t="s">
        <v>731</v>
      </c>
      <c r="N24" s="935" t="s">
        <v>733</v>
      </c>
      <c r="P24" s="158"/>
      <c r="Q24" s="158" t="s">
        <v>734</v>
      </c>
      <c r="R24" s="158"/>
      <c r="S24" s="158"/>
    </row>
    <row r="25" ht="15.75" customHeight="1">
      <c r="A25" s="90"/>
      <c r="B25" s="936" t="s">
        <v>5</v>
      </c>
      <c r="C25" s="338" t="s">
        <v>6</v>
      </c>
      <c r="D25" s="338" t="s">
        <v>7</v>
      </c>
      <c r="E25" s="937"/>
      <c r="F25" s="936" t="s">
        <v>5</v>
      </c>
      <c r="G25" s="338" t="s">
        <v>6</v>
      </c>
      <c r="H25" s="338" t="s">
        <v>7</v>
      </c>
      <c r="I25" s="937"/>
      <c r="J25" s="936" t="s">
        <v>5</v>
      </c>
      <c r="K25" s="338" t="s">
        <v>6</v>
      </c>
      <c r="L25" s="338" t="s">
        <v>7</v>
      </c>
      <c r="M25" s="937"/>
      <c r="N25" s="340"/>
      <c r="P25" s="158"/>
      <c r="Q25" s="158" t="s">
        <v>30</v>
      </c>
      <c r="R25" s="158" t="s">
        <v>31</v>
      </c>
      <c r="S25" s="158" t="s">
        <v>32</v>
      </c>
    </row>
    <row r="26">
      <c r="A26" s="635" t="str">
        <f t="shared" ref="A26:A31" si="4">A12</f>
        <v>None to 300mm</v>
      </c>
      <c r="B26" s="113">
        <f t="shared" ref="B26:D26" si="1">$B$21*D12</f>
        <v>4515.2</v>
      </c>
      <c r="C26" s="115">
        <f t="shared" si="1"/>
        <v>5178.88</v>
      </c>
      <c r="D26" s="115">
        <f t="shared" si="1"/>
        <v>5755.52</v>
      </c>
      <c r="E26" s="471">
        <f>B12/numGasHeatingEngland*propHomesGasHeating</f>
        <v>0.008524984453</v>
      </c>
      <c r="F26" s="113">
        <f t="shared" ref="F26:H26" si="2">$C$21*D12</f>
        <v>7295.7</v>
      </c>
      <c r="G26" s="115">
        <f t="shared" si="2"/>
        <v>8368.08</v>
      </c>
      <c r="H26" s="115">
        <f t="shared" si="2"/>
        <v>9299.82</v>
      </c>
      <c r="I26" s="471">
        <f>L12/numOilHeatingEngland*propHomesOilHeating</f>
        <v>0.001529226572</v>
      </c>
      <c r="J26" s="113">
        <f t="shared" ref="J26:L26" si="3">$D$21*I12</f>
        <v>3557.18</v>
      </c>
      <c r="K26" s="115">
        <f t="shared" si="3"/>
        <v>4027.76</v>
      </c>
      <c r="L26" s="115">
        <f t="shared" si="3"/>
        <v>4548.94</v>
      </c>
      <c r="M26" s="471">
        <f>G12/(numStorageHeatersEngland+numOtherElectricHeatersEngland)*(propHomesStorageHeaters+propHomesOtherElectricHeaters)</f>
        <v>0.0007438831274</v>
      </c>
      <c r="N26" s="127">
        <f t="shared" ref="N26:N31" si="8">E26+I26+M26</f>
        <v>0.01079809415</v>
      </c>
      <c r="P26" s="158" t="s">
        <v>377</v>
      </c>
      <c r="Q26" s="947">
        <f t="shared" ref="Q26:Q32" si="9">B12/SUM(B$12:B$18)</f>
        <v>0.01420165061</v>
      </c>
      <c r="R26" s="947">
        <f t="shared" ref="R26:R32" si="10">L12/SUM(L$12:L$18)</f>
        <v>0.03170003443</v>
      </c>
      <c r="S26" s="947">
        <f t="shared" ref="S26:S32" si="11">G12/SUM(G$12:G$18)</f>
        <v>0.02134347351</v>
      </c>
    </row>
    <row r="27">
      <c r="A27" s="635" t="str">
        <f t="shared" si="4"/>
        <v>0- 50, to 300mm</v>
      </c>
      <c r="B27" s="113">
        <f t="shared" ref="B27:D27" si="5">$B$21*D13</f>
        <v>1224</v>
      </c>
      <c r="C27" s="115">
        <f t="shared" si="5"/>
        <v>1506.88</v>
      </c>
      <c r="D27" s="115">
        <f t="shared" si="5"/>
        <v>1702.72</v>
      </c>
      <c r="E27" s="471">
        <f>B13/numGasHeatingEngland*propHomesGasHeating</f>
        <v>0.02863471501</v>
      </c>
      <c r="F27" s="113">
        <f t="shared" ref="F27:H27" si="6">$C$21*D13</f>
        <v>1977.75</v>
      </c>
      <c r="G27" s="115">
        <f t="shared" si="6"/>
        <v>2434.83</v>
      </c>
      <c r="H27" s="115">
        <f t="shared" si="6"/>
        <v>2751.27</v>
      </c>
      <c r="I27" s="471">
        <f>L13/numOilHeatingEngland*propHomesOilHeating</f>
        <v>0.00249843516</v>
      </c>
      <c r="J27" s="113">
        <f t="shared" ref="J27:L27" si="7">$D$21*I13</f>
        <v>1092.96</v>
      </c>
      <c r="K27" s="115">
        <f t="shared" si="7"/>
        <v>1204.28</v>
      </c>
      <c r="L27" s="115">
        <f t="shared" si="7"/>
        <v>1295.36</v>
      </c>
      <c r="M27" s="471">
        <f>G13/(numStorageHeatersEngland+numOtherElectricHeatersEngland)*(propHomesStorageHeaters+propHomesOtherElectricHeaters)</f>
        <v>0.002923459982</v>
      </c>
      <c r="N27" s="127">
        <f t="shared" si="8"/>
        <v>0.03405661015</v>
      </c>
      <c r="P27" s="158" t="s">
        <v>743</v>
      </c>
      <c r="Q27" s="947">
        <f t="shared" si="9"/>
        <v>0.04770216534</v>
      </c>
      <c r="R27" s="947">
        <f t="shared" si="10"/>
        <v>0.05179120088</v>
      </c>
      <c r="S27" s="947">
        <f t="shared" si="11"/>
        <v>0.08387983058</v>
      </c>
    </row>
    <row r="28">
      <c r="A28" s="635" t="str">
        <f t="shared" si="4"/>
        <v>50-100 to 300mm</v>
      </c>
      <c r="B28" s="113">
        <f t="shared" ref="B28:D28" si="12">$B$21*D14</f>
        <v>544</v>
      </c>
      <c r="C28" s="115">
        <f t="shared" si="12"/>
        <v>712.64</v>
      </c>
      <c r="D28" s="115">
        <f t="shared" si="12"/>
        <v>799.68</v>
      </c>
      <c r="E28" s="471">
        <f>B14/numGasHeatingEngland*propHomesGasHeating</f>
        <v>0.1430428356</v>
      </c>
      <c r="F28" s="113">
        <f t="shared" ref="F28:H28" si="13">$C$21*D14</f>
        <v>879</v>
      </c>
      <c r="G28" s="115">
        <f t="shared" si="13"/>
        <v>1151.49</v>
      </c>
      <c r="H28" s="115">
        <f t="shared" si="13"/>
        <v>1292.13</v>
      </c>
      <c r="I28" s="471">
        <f>L14/numOilHeatingEngland*propHomesOilHeating</f>
        <v>0.01222818998</v>
      </c>
      <c r="J28" s="113">
        <f t="shared" ref="J28:L28" si="14">$D$21*I14</f>
        <v>475.64</v>
      </c>
      <c r="K28" s="115">
        <f t="shared" si="14"/>
        <v>551.54</v>
      </c>
      <c r="L28" s="115">
        <f t="shared" si="14"/>
        <v>612.26</v>
      </c>
      <c r="M28" s="471">
        <f>G14/(numStorageHeatersEngland+numOtherElectricHeatersEngland)*(propHomesStorageHeaters+propHomesOtherElectricHeaters)</f>
        <v>0.006916832612</v>
      </c>
      <c r="N28" s="127">
        <f t="shared" si="8"/>
        <v>0.1621878582</v>
      </c>
      <c r="P28" s="158" t="s">
        <v>750</v>
      </c>
      <c r="Q28" s="947">
        <f t="shared" si="9"/>
        <v>0.2382930297</v>
      </c>
      <c r="R28" s="947">
        <f t="shared" si="10"/>
        <v>0.2534837221</v>
      </c>
      <c r="S28" s="947">
        <f t="shared" si="11"/>
        <v>0.1984575644</v>
      </c>
    </row>
    <row r="29">
      <c r="A29" s="635" t="str">
        <f t="shared" si="4"/>
        <v>100-150 to 300mm</v>
      </c>
      <c r="B29" s="113">
        <f t="shared" ref="B29:D29" si="15">$B$21*D15</f>
        <v>369.92</v>
      </c>
      <c r="C29" s="115">
        <f t="shared" si="15"/>
        <v>435.2</v>
      </c>
      <c r="D29" s="115">
        <f t="shared" si="15"/>
        <v>489.6</v>
      </c>
      <c r="E29" s="471">
        <f>B15/numGasHeatingEngland*propHomesGasHeating</f>
        <v>0.1201100165</v>
      </c>
      <c r="F29" s="113">
        <f t="shared" ref="F29:H29" si="16">$C$21*D15</f>
        <v>597.72</v>
      </c>
      <c r="G29" s="115">
        <f t="shared" si="16"/>
        <v>703.2</v>
      </c>
      <c r="H29" s="115">
        <f t="shared" si="16"/>
        <v>791.1</v>
      </c>
      <c r="I29" s="471">
        <f>L15/numOilHeatingEngland*propHomesOilHeating</f>
        <v>0.01050988153</v>
      </c>
      <c r="J29" s="113">
        <f t="shared" ref="J29:L29" si="17">$D$21*I15</f>
        <v>313.72</v>
      </c>
      <c r="K29" s="115">
        <f t="shared" si="17"/>
        <v>349.14</v>
      </c>
      <c r="L29" s="115">
        <f t="shared" si="17"/>
        <v>394.68</v>
      </c>
      <c r="M29" s="471">
        <f>G15/(numStorageHeatersEngland+numOtherElectricHeatersEngland)*(propHomesStorageHeaters+propHomesOtherElectricHeaters)</f>
        <v>0.007325683953</v>
      </c>
      <c r="N29" s="127">
        <f t="shared" si="8"/>
        <v>0.1379455819</v>
      </c>
      <c r="P29" s="158" t="s">
        <v>773</v>
      </c>
      <c r="Q29" s="947">
        <f t="shared" si="9"/>
        <v>0.2000895718</v>
      </c>
      <c r="R29" s="947">
        <f t="shared" si="10"/>
        <v>0.2178641232</v>
      </c>
      <c r="S29" s="947">
        <f t="shared" si="11"/>
        <v>0.2101883154</v>
      </c>
    </row>
    <row r="30">
      <c r="A30" s="635" t="str">
        <f t="shared" si="4"/>
        <v>150-200 to 300mm</v>
      </c>
      <c r="B30" s="113">
        <f t="shared" ref="B30:D30" si="18">$B$21*D16</f>
        <v>157.76</v>
      </c>
      <c r="C30" s="115">
        <f t="shared" si="18"/>
        <v>179.52</v>
      </c>
      <c r="D30" s="115">
        <f t="shared" si="18"/>
        <v>201.28</v>
      </c>
      <c r="E30" s="471">
        <f>B16/numGasHeatingEngland*propHomesGasHeating</f>
        <v>0.1048583468</v>
      </c>
      <c r="F30" s="113">
        <f t="shared" ref="F30:H30" si="19">$C$21*D16</f>
        <v>254.91</v>
      </c>
      <c r="G30" s="115">
        <f t="shared" si="19"/>
        <v>290.07</v>
      </c>
      <c r="H30" s="115">
        <f t="shared" si="19"/>
        <v>325.23</v>
      </c>
      <c r="I30" s="471">
        <f>L16/numOilHeatingEngland*propHomesOilHeating</f>
        <v>0.007847770129</v>
      </c>
      <c r="J30" s="113">
        <f t="shared" ref="J30:L30" si="20">$D$21*I16</f>
        <v>131.56</v>
      </c>
      <c r="K30" s="115">
        <f t="shared" si="20"/>
        <v>146.74</v>
      </c>
      <c r="L30" s="115">
        <f t="shared" si="20"/>
        <v>166.98</v>
      </c>
      <c r="M30" s="471">
        <f>G16/(numStorageHeatersEngland+numOtherElectricHeatersEngland)*(propHomesStorageHeaters+propHomesOtherElectricHeaters)</f>
        <v>0.006083873005</v>
      </c>
      <c r="N30" s="127">
        <f t="shared" si="8"/>
        <v>0.1187899899</v>
      </c>
      <c r="P30" s="158" t="s">
        <v>788</v>
      </c>
      <c r="Q30" s="947">
        <f t="shared" si="9"/>
        <v>0.1746820318</v>
      </c>
      <c r="R30" s="947">
        <f t="shared" si="10"/>
        <v>0.162680003</v>
      </c>
      <c r="S30" s="947">
        <f t="shared" si="11"/>
        <v>0.174558311</v>
      </c>
    </row>
    <row r="31">
      <c r="A31" s="635" t="str">
        <f t="shared" si="4"/>
        <v>200-250 to 300mm</v>
      </c>
      <c r="B31" s="403">
        <f t="shared" ref="B31:D31" si="21">$B$21*D17</f>
        <v>70.72</v>
      </c>
      <c r="C31" s="405">
        <f t="shared" si="21"/>
        <v>76.16</v>
      </c>
      <c r="D31" s="405">
        <f t="shared" si="21"/>
        <v>87.04</v>
      </c>
      <c r="E31" s="972">
        <f>B17/numGasHeatingEngland*propHomesGasHeating</f>
        <v>0.1011800124</v>
      </c>
      <c r="F31" s="403">
        <f t="shared" ref="F31:H31" si="22">$C$21*D17</f>
        <v>114.27</v>
      </c>
      <c r="G31" s="405">
        <f t="shared" si="22"/>
        <v>123.06</v>
      </c>
      <c r="H31" s="405">
        <f t="shared" si="22"/>
        <v>140.64</v>
      </c>
      <c r="I31" s="972">
        <f>L17/numOilHeatingEngland*propHomesOilHeating</f>
        <v>0.006253059291</v>
      </c>
      <c r="J31" s="403">
        <f t="shared" ref="J31:L31" si="23">$D$21*I17</f>
        <v>55.66</v>
      </c>
      <c r="K31" s="405">
        <f t="shared" si="23"/>
        <v>60.72</v>
      </c>
      <c r="L31" s="405">
        <f t="shared" si="23"/>
        <v>70.84</v>
      </c>
      <c r="M31" s="972">
        <f>G17/(numStorageHeatersEngland+numOtherElectricHeatersEngland)*(propHomesStorageHeaters+propHomesOtherElectricHeaters)</f>
        <v>0.005797170045</v>
      </c>
      <c r="N31" s="975">
        <f t="shared" si="8"/>
        <v>0.1132302417</v>
      </c>
      <c r="P31" s="158" t="s">
        <v>796</v>
      </c>
      <c r="Q31" s="947">
        <f t="shared" si="9"/>
        <v>0.1685543467</v>
      </c>
      <c r="R31" s="947">
        <f t="shared" si="10"/>
        <v>0.1296225153</v>
      </c>
      <c r="S31" s="947">
        <f t="shared" si="11"/>
        <v>0.1663322379</v>
      </c>
    </row>
    <row r="32">
      <c r="A32" s="425"/>
      <c r="B32" s="977"/>
      <c r="N32" s="245"/>
      <c r="P32" s="158" t="s">
        <v>798</v>
      </c>
      <c r="Q32" s="947">
        <f t="shared" si="9"/>
        <v>0.1564772041</v>
      </c>
      <c r="R32" s="947">
        <f t="shared" si="10"/>
        <v>0.152858401</v>
      </c>
      <c r="S32" s="947">
        <f t="shared" si="11"/>
        <v>0.1452402673</v>
      </c>
    </row>
    <row r="33">
      <c r="A33" s="90" t="s">
        <v>799</v>
      </c>
      <c r="B33" s="430" t="s">
        <v>5</v>
      </c>
      <c r="C33" s="323" t="s">
        <v>6</v>
      </c>
      <c r="D33" s="324" t="s">
        <v>7</v>
      </c>
      <c r="P33" s="158"/>
      <c r="Q33" s="947"/>
      <c r="R33" s="947"/>
      <c r="S33" s="947"/>
    </row>
    <row r="34">
      <c r="A34" s="635"/>
      <c r="B34" s="979">
        <v>0.1</v>
      </c>
      <c r="C34" s="960">
        <v>0.05</v>
      </c>
      <c r="D34" s="950">
        <v>0.01</v>
      </c>
      <c r="E34" s="98" t="s">
        <v>233</v>
      </c>
      <c r="P34" s="158"/>
      <c r="Q34" s="947"/>
      <c r="R34" s="947"/>
      <c r="S34" s="947"/>
    </row>
    <row r="35">
      <c r="A35" s="425"/>
      <c r="B35" s="977"/>
      <c r="P35" s="158"/>
      <c r="Q35" s="947"/>
      <c r="R35" s="947"/>
      <c r="S35" s="947"/>
    </row>
    <row r="36">
      <c r="A36" s="425"/>
      <c r="B36" s="977"/>
      <c r="P36" s="158"/>
      <c r="Q36" s="947"/>
      <c r="R36" s="947"/>
      <c r="S36" s="947"/>
    </row>
    <row r="37">
      <c r="A37" s="723" t="s">
        <v>801</v>
      </c>
      <c r="B37" s="14" t="s">
        <v>30</v>
      </c>
      <c r="C37" s="506"/>
      <c r="D37" s="508"/>
      <c r="E37" s="14" t="s">
        <v>31</v>
      </c>
      <c r="F37" s="506"/>
      <c r="G37" s="508"/>
      <c r="H37" s="506" t="s">
        <v>32</v>
      </c>
      <c r="I37" s="506"/>
      <c r="J37" s="508"/>
      <c r="P37" s="158"/>
      <c r="Q37" s="947"/>
      <c r="R37" s="947"/>
      <c r="S37" s="947"/>
    </row>
    <row r="38">
      <c r="A38" s="981"/>
      <c r="B38" s="936" t="s">
        <v>5</v>
      </c>
      <c r="C38" s="338" t="s">
        <v>6</v>
      </c>
      <c r="D38" s="339" t="s">
        <v>7</v>
      </c>
      <c r="E38" s="936" t="s">
        <v>5</v>
      </c>
      <c r="F38" s="338" t="s">
        <v>6</v>
      </c>
      <c r="G38" s="339" t="s">
        <v>7</v>
      </c>
      <c r="H38" s="338" t="s">
        <v>5</v>
      </c>
      <c r="I38" s="338" t="s">
        <v>6</v>
      </c>
      <c r="J38" s="339" t="s">
        <v>7</v>
      </c>
      <c r="P38" s="158"/>
      <c r="Q38" s="947"/>
      <c r="R38" s="947"/>
      <c r="S38" s="947"/>
    </row>
    <row r="39">
      <c r="A39" s="724" t="str">
        <f t="shared" ref="A39:A44" si="27">A26</f>
        <v>None to 300mm</v>
      </c>
      <c r="B39" s="984">
        <f t="shared" ref="B39:D39" si="24">$E26*(1-B$34)</f>
        <v>0.007672486008</v>
      </c>
      <c r="C39" s="492">
        <f t="shared" si="24"/>
        <v>0.008098735231</v>
      </c>
      <c r="D39" s="985">
        <f t="shared" si="24"/>
        <v>0.008439734609</v>
      </c>
      <c r="E39" s="984">
        <f t="shared" ref="E39:G39" si="25">$I26*(1-B$34)</f>
        <v>0.001376303915</v>
      </c>
      <c r="F39" s="492">
        <f t="shared" si="25"/>
        <v>0.001452765244</v>
      </c>
      <c r="G39" s="985">
        <f t="shared" si="25"/>
        <v>0.001513934306</v>
      </c>
      <c r="H39" s="492">
        <f t="shared" ref="H39:J39" si="26">$M26*(1-B$34)</f>
        <v>0.0006694948147</v>
      </c>
      <c r="I39" s="492">
        <f t="shared" si="26"/>
        <v>0.000706688971</v>
      </c>
      <c r="J39" s="985">
        <f t="shared" si="26"/>
        <v>0.0007364442961</v>
      </c>
      <c r="P39" s="158"/>
      <c r="Q39" s="947"/>
      <c r="R39" s="947"/>
      <c r="S39" s="947"/>
    </row>
    <row r="40">
      <c r="A40" s="724" t="str">
        <f t="shared" si="27"/>
        <v>0- 50, to 300mm</v>
      </c>
      <c r="B40" s="984">
        <f t="shared" ref="B40:D40" si="28">$E27*(1-B$34)</f>
        <v>0.02577124351</v>
      </c>
      <c r="C40" s="492">
        <f t="shared" si="28"/>
        <v>0.02720297926</v>
      </c>
      <c r="D40" s="985">
        <f t="shared" si="28"/>
        <v>0.02834836786</v>
      </c>
      <c r="E40" s="984">
        <f t="shared" ref="E40:G40" si="29">$I27*(1-B$34)</f>
        <v>0.002248591644</v>
      </c>
      <c r="F40" s="492">
        <f t="shared" si="29"/>
        <v>0.002373513402</v>
      </c>
      <c r="G40" s="985">
        <f t="shared" si="29"/>
        <v>0.002473450809</v>
      </c>
      <c r="H40" s="492">
        <f t="shared" ref="H40:J40" si="30">$M27*(1-B$34)</f>
        <v>0.002631113984</v>
      </c>
      <c r="I40" s="492">
        <f t="shared" si="30"/>
        <v>0.002777286983</v>
      </c>
      <c r="J40" s="985">
        <f t="shared" si="30"/>
        <v>0.002894225383</v>
      </c>
      <c r="P40" s="158"/>
      <c r="Q40" s="947"/>
      <c r="R40" s="947"/>
      <c r="S40" s="947"/>
    </row>
    <row r="41">
      <c r="A41" s="724" t="str">
        <f t="shared" si="27"/>
        <v>50-100 to 300mm</v>
      </c>
      <c r="B41" s="984">
        <f t="shared" ref="B41:D41" si="31">$E28*(1-B$34)</f>
        <v>0.128738552</v>
      </c>
      <c r="C41" s="492">
        <f t="shared" si="31"/>
        <v>0.1358906938</v>
      </c>
      <c r="D41" s="985">
        <f t="shared" si="31"/>
        <v>0.1416124072</v>
      </c>
      <c r="E41" s="984">
        <f t="shared" ref="E41:G41" si="32">$I28*(1-B$34)</f>
        <v>0.01100537099</v>
      </c>
      <c r="F41" s="492">
        <f t="shared" si="32"/>
        <v>0.01161678048</v>
      </c>
      <c r="G41" s="985">
        <f t="shared" si="32"/>
        <v>0.01210590808</v>
      </c>
      <c r="H41" s="492">
        <f t="shared" ref="H41:J41" si="33">$M28*(1-B$34)</f>
        <v>0.006225149351</v>
      </c>
      <c r="I41" s="492">
        <f t="shared" si="33"/>
        <v>0.006570990982</v>
      </c>
      <c r="J41" s="985">
        <f t="shared" si="33"/>
        <v>0.006847664286</v>
      </c>
      <c r="P41" s="158"/>
      <c r="Q41" s="947"/>
      <c r="R41" s="947"/>
      <c r="S41" s="947"/>
    </row>
    <row r="42">
      <c r="A42" s="724" t="str">
        <f t="shared" si="27"/>
        <v>100-150 to 300mm</v>
      </c>
      <c r="B42" s="984">
        <f t="shared" ref="B42:D42" si="34">$E29*(1-B$34)</f>
        <v>0.1080990148</v>
      </c>
      <c r="C42" s="492">
        <f t="shared" si="34"/>
        <v>0.1141045156</v>
      </c>
      <c r="D42" s="985">
        <f t="shared" si="34"/>
        <v>0.1189089163</v>
      </c>
      <c r="E42" s="984">
        <f t="shared" ref="E42:G42" si="35">$I29*(1-B$34)</f>
        <v>0.009458893378</v>
      </c>
      <c r="F42" s="492">
        <f t="shared" si="35"/>
        <v>0.009984387454</v>
      </c>
      <c r="G42" s="985">
        <f t="shared" si="35"/>
        <v>0.01040478272</v>
      </c>
      <c r="H42" s="492">
        <f t="shared" ref="H42:J42" si="36">$M29*(1-B$34)</f>
        <v>0.006593115558</v>
      </c>
      <c r="I42" s="492">
        <f t="shared" si="36"/>
        <v>0.006959399755</v>
      </c>
      <c r="J42" s="985">
        <f t="shared" si="36"/>
        <v>0.007252427113</v>
      </c>
      <c r="P42" s="158"/>
      <c r="Q42" s="947"/>
      <c r="R42" s="947"/>
      <c r="S42" s="947"/>
    </row>
    <row r="43">
      <c r="A43" s="724" t="str">
        <f t="shared" si="27"/>
        <v>150-200 to 300mm</v>
      </c>
      <c r="B43" s="984">
        <f t="shared" ref="B43:D43" si="37">$E30*(1-B$34)</f>
        <v>0.09437251212</v>
      </c>
      <c r="C43" s="492">
        <f t="shared" si="37"/>
        <v>0.09961542946</v>
      </c>
      <c r="D43" s="985">
        <f t="shared" si="37"/>
        <v>0.1038097633</v>
      </c>
      <c r="E43" s="984">
        <f t="shared" ref="E43:G43" si="38">$I30*(1-B$34)</f>
        <v>0.007062993116</v>
      </c>
      <c r="F43" s="492">
        <f t="shared" si="38"/>
        <v>0.007455381623</v>
      </c>
      <c r="G43" s="985">
        <f t="shared" si="38"/>
        <v>0.007769292428</v>
      </c>
      <c r="H43" s="492">
        <f t="shared" ref="H43:J43" si="39">$M30*(1-B$34)</f>
        <v>0.005475485704</v>
      </c>
      <c r="I43" s="492">
        <f t="shared" si="39"/>
        <v>0.005779679355</v>
      </c>
      <c r="J43" s="985">
        <f t="shared" si="39"/>
        <v>0.006023034275</v>
      </c>
      <c r="P43" s="158"/>
      <c r="Q43" s="947"/>
      <c r="R43" s="947"/>
      <c r="S43" s="947"/>
    </row>
    <row r="44">
      <c r="A44" s="727" t="str">
        <f t="shared" si="27"/>
        <v>200-250 to 300mm</v>
      </c>
      <c r="B44" s="998">
        <f t="shared" ref="B44:D44" si="40">$E31*(1-B$34)</f>
        <v>0.09106201117</v>
      </c>
      <c r="C44" s="495">
        <f t="shared" si="40"/>
        <v>0.09612101179</v>
      </c>
      <c r="D44" s="741">
        <f t="shared" si="40"/>
        <v>0.1001682123</v>
      </c>
      <c r="E44" s="998">
        <f t="shared" ref="E44:G44" si="41">$I31*(1-B$34)</f>
        <v>0.005627753362</v>
      </c>
      <c r="F44" s="495">
        <f t="shared" si="41"/>
        <v>0.005940406326</v>
      </c>
      <c r="G44" s="741">
        <f t="shared" si="41"/>
        <v>0.006190528698</v>
      </c>
      <c r="H44" s="495">
        <f t="shared" ref="H44:J44" si="42">$M31*(1-B$34)</f>
        <v>0.00521745304</v>
      </c>
      <c r="I44" s="495">
        <f t="shared" si="42"/>
        <v>0.005507311543</v>
      </c>
      <c r="J44" s="741">
        <f t="shared" si="42"/>
        <v>0.005739198345</v>
      </c>
      <c r="P44" s="158"/>
      <c r="Q44" s="947"/>
      <c r="R44" s="947"/>
      <c r="S44" s="947"/>
    </row>
    <row r="45">
      <c r="A45" s="425"/>
      <c r="B45" s="977"/>
      <c r="K45" s="245"/>
      <c r="P45" s="158"/>
      <c r="Q45" s="947"/>
      <c r="R45" s="947"/>
      <c r="S45" s="947"/>
    </row>
    <row r="46">
      <c r="A46" s="425"/>
      <c r="H46" s="524"/>
      <c r="I46" s="524"/>
      <c r="J46" s="524"/>
    </row>
    <row r="47">
      <c r="A47" s="425"/>
      <c r="H47" s="996"/>
      <c r="I47" s="996"/>
      <c r="J47" s="996"/>
    </row>
    <row r="48">
      <c r="A48" s="116" t="s">
        <v>16</v>
      </c>
      <c r="B48" s="465" t="s">
        <v>11</v>
      </c>
      <c r="C48" s="9"/>
      <c r="D48" s="9"/>
      <c r="E48" s="9"/>
      <c r="F48" s="9"/>
      <c r="G48" s="9"/>
      <c r="H48" s="9"/>
      <c r="I48" s="9"/>
      <c r="J48" s="677"/>
      <c r="K48" s="465" t="s">
        <v>256</v>
      </c>
      <c r="L48" s="9"/>
      <c r="M48" s="9"/>
      <c r="N48" s="9"/>
      <c r="O48" s="9"/>
      <c r="P48" s="9"/>
      <c r="Q48" s="9"/>
      <c r="R48" s="9"/>
      <c r="S48" s="10"/>
      <c r="T48" s="678" t="s">
        <v>257</v>
      </c>
    </row>
    <row r="49">
      <c r="A49" s="326"/>
      <c r="B49" s="468" t="s">
        <v>30</v>
      </c>
      <c r="C49" s="469"/>
      <c r="D49" s="470"/>
      <c r="E49" s="468" t="s">
        <v>31</v>
      </c>
      <c r="F49" s="469"/>
      <c r="G49" s="470"/>
      <c r="H49" s="60" t="s">
        <v>32</v>
      </c>
      <c r="I49" s="57"/>
      <c r="J49" s="58"/>
      <c r="K49" s="468" t="s">
        <v>30</v>
      </c>
      <c r="L49" s="469"/>
      <c r="M49" s="470"/>
      <c r="N49" s="468" t="s">
        <v>31</v>
      </c>
      <c r="O49" s="469"/>
      <c r="P49" s="470"/>
      <c r="Q49" s="60" t="s">
        <v>32</v>
      </c>
      <c r="R49" s="57"/>
      <c r="S49" s="58"/>
      <c r="T49" s="474"/>
    </row>
    <row r="50">
      <c r="A50" s="473"/>
      <c r="B50" s="74" t="s">
        <v>5</v>
      </c>
      <c r="C50" s="69" t="s">
        <v>6</v>
      </c>
      <c r="D50" s="70" t="s">
        <v>7</v>
      </c>
      <c r="E50" s="74" t="s">
        <v>5</v>
      </c>
      <c r="F50" s="69" t="s">
        <v>6</v>
      </c>
      <c r="G50" s="70" t="s">
        <v>7</v>
      </c>
      <c r="H50" s="74" t="s">
        <v>5</v>
      </c>
      <c r="I50" s="69" t="s">
        <v>6</v>
      </c>
      <c r="J50" s="70" t="s">
        <v>7</v>
      </c>
      <c r="K50" s="74" t="s">
        <v>5</v>
      </c>
      <c r="L50" s="69" t="s">
        <v>6</v>
      </c>
      <c r="M50" s="70" t="s">
        <v>7</v>
      </c>
      <c r="N50" s="74" t="s">
        <v>5</v>
      </c>
      <c r="O50" s="69" t="s">
        <v>6</v>
      </c>
      <c r="P50" s="70" t="s">
        <v>7</v>
      </c>
      <c r="Q50" s="74" t="s">
        <v>5</v>
      </c>
      <c r="R50" s="69" t="s">
        <v>6</v>
      </c>
      <c r="S50" s="70" t="s">
        <v>7</v>
      </c>
      <c r="T50" s="474"/>
    </row>
    <row r="51">
      <c r="A51" s="635" t="str">
        <f t="shared" ref="A51:A56" si="46">A39</f>
        <v>None to 300mm</v>
      </c>
      <c r="B51" s="891">
        <f t="shared" ref="B51:D51" si="43">B26</f>
        <v>4515.2</v>
      </c>
      <c r="C51" s="893">
        <f t="shared" si="43"/>
        <v>5178.88</v>
      </c>
      <c r="D51" s="894">
        <f t="shared" si="43"/>
        <v>5755.52</v>
      </c>
      <c r="E51" s="891">
        <f t="shared" ref="E51:G51" si="44">F26</f>
        <v>7295.7</v>
      </c>
      <c r="F51" s="893">
        <f t="shared" si="44"/>
        <v>8368.08</v>
      </c>
      <c r="G51" s="894">
        <f t="shared" si="44"/>
        <v>9299.82</v>
      </c>
      <c r="H51" s="891">
        <f t="shared" ref="H51:J51" si="45">J26</f>
        <v>3557.18</v>
      </c>
      <c r="I51" s="893">
        <f t="shared" si="45"/>
        <v>4027.76</v>
      </c>
      <c r="J51" s="894">
        <f t="shared" si="45"/>
        <v>4548.94</v>
      </c>
      <c r="K51" s="891">
        <f>B39*numberDwellingsUK/1000</f>
        <v>235.1755066</v>
      </c>
      <c r="L51" s="893">
        <f>C39*numberDwellingsUK/1000</f>
        <v>248.2408125</v>
      </c>
      <c r="M51" s="894">
        <f>D39*numberDwellingsUK/1000</f>
        <v>258.6930573</v>
      </c>
      <c r="N51" s="113">
        <f>E39*numberDwellingsUK/1000</f>
        <v>42.18619234</v>
      </c>
      <c r="O51" s="115">
        <f>F39*numberDwellingsUK/1000</f>
        <v>44.52986969</v>
      </c>
      <c r="P51" s="117">
        <f>G39*numberDwellingsUK/1000</f>
        <v>46.40481158</v>
      </c>
      <c r="Q51" s="113">
        <f>H39*numberDwellingsUK/1000</f>
        <v>20.52122116</v>
      </c>
      <c r="R51" s="115">
        <f>I39*numberDwellingsUK/1000</f>
        <v>21.661289</v>
      </c>
      <c r="S51" s="117">
        <f>J39*numberDwellingsUK/1000</f>
        <v>22.57334328</v>
      </c>
      <c r="T51" s="633" t="s">
        <v>134</v>
      </c>
    </row>
    <row r="52">
      <c r="A52" s="635" t="str">
        <f t="shared" si="46"/>
        <v>0- 50, to 300mm</v>
      </c>
      <c r="B52" s="891">
        <f t="shared" ref="B52:D52" si="47">B27</f>
        <v>1224</v>
      </c>
      <c r="C52" s="893">
        <f t="shared" si="47"/>
        <v>1506.88</v>
      </c>
      <c r="D52" s="894">
        <f t="shared" si="47"/>
        <v>1702.72</v>
      </c>
      <c r="E52" s="891">
        <f t="shared" ref="E52:G52" si="48">F27</f>
        <v>1977.75</v>
      </c>
      <c r="F52" s="893">
        <f t="shared" si="48"/>
        <v>2434.83</v>
      </c>
      <c r="G52" s="894">
        <f t="shared" si="48"/>
        <v>2751.27</v>
      </c>
      <c r="H52" s="891">
        <f t="shared" ref="H52:J52" si="49">J27</f>
        <v>1092.96</v>
      </c>
      <c r="I52" s="893">
        <f t="shared" si="49"/>
        <v>1204.28</v>
      </c>
      <c r="J52" s="894">
        <f t="shared" si="49"/>
        <v>1295.36</v>
      </c>
      <c r="K52" s="891">
        <f>B40*numberDwellingsUK/1000</f>
        <v>789.9350018</v>
      </c>
      <c r="L52" s="893">
        <f>C40*numberDwellingsUK/1000</f>
        <v>833.8202796</v>
      </c>
      <c r="M52" s="894">
        <f>D40*numberDwellingsUK/1000</f>
        <v>868.9285019</v>
      </c>
      <c r="N52" s="113">
        <f>E40*numberDwellingsUK/1000</f>
        <v>68.92338136</v>
      </c>
      <c r="O52" s="115">
        <f>F40*numberDwellingsUK/1000</f>
        <v>72.7524581</v>
      </c>
      <c r="P52" s="117">
        <f>G40*numberDwellingsUK/1000</f>
        <v>75.8157195</v>
      </c>
      <c r="Q52" s="113">
        <f>H40*numberDwellingsUK/1000</f>
        <v>80.64837962</v>
      </c>
      <c r="R52" s="115">
        <f>I40*numberDwellingsUK/1000</f>
        <v>85.12884515</v>
      </c>
      <c r="S52" s="117">
        <f>J40*numberDwellingsUK/1000</f>
        <v>88.71321758</v>
      </c>
      <c r="T52" s="633" t="s">
        <v>134</v>
      </c>
    </row>
    <row r="53">
      <c r="A53" s="635" t="str">
        <f t="shared" si="46"/>
        <v>50-100 to 300mm</v>
      </c>
      <c r="B53" s="891">
        <f t="shared" ref="B53:D53" si="50">B28</f>
        <v>544</v>
      </c>
      <c r="C53" s="893">
        <f t="shared" si="50"/>
        <v>712.64</v>
      </c>
      <c r="D53" s="894">
        <f t="shared" si="50"/>
        <v>799.68</v>
      </c>
      <c r="E53" s="891">
        <f t="shared" ref="E53:G53" si="51">F28</f>
        <v>879</v>
      </c>
      <c r="F53" s="893">
        <f t="shared" si="51"/>
        <v>1151.49</v>
      </c>
      <c r="G53" s="894">
        <f t="shared" si="51"/>
        <v>1292.13</v>
      </c>
      <c r="H53" s="891">
        <f t="shared" ref="H53:J53" si="52">J28</f>
        <v>475.64</v>
      </c>
      <c r="I53" s="893">
        <f t="shared" si="52"/>
        <v>551.54</v>
      </c>
      <c r="J53" s="894">
        <f t="shared" si="52"/>
        <v>612.26</v>
      </c>
      <c r="K53" s="891">
        <f>B41*numberDwellingsUK/1000</f>
        <v>3946.068349</v>
      </c>
      <c r="L53" s="893">
        <f>C41*numberDwellingsUK/1000</f>
        <v>4165.294368</v>
      </c>
      <c r="M53" s="894">
        <f>D41*numberDwellingsUK/1000</f>
        <v>4340.675184</v>
      </c>
      <c r="N53" s="113">
        <f>E41*numberDwellingsUK/1000</f>
        <v>337.3344304</v>
      </c>
      <c r="O53" s="115">
        <f>F41*numberDwellingsUK/1000</f>
        <v>356.0752321</v>
      </c>
      <c r="P53" s="117">
        <f>G41*numberDwellingsUK/1000</f>
        <v>371.0678734</v>
      </c>
      <c r="Q53" s="113">
        <f>H41*numberDwellingsUK/1000</f>
        <v>190.8120329</v>
      </c>
      <c r="R53" s="115">
        <f>I41*numberDwellingsUK/1000</f>
        <v>201.4127014</v>
      </c>
      <c r="S53" s="117">
        <f>J41*numberDwellingsUK/1000</f>
        <v>209.8932362</v>
      </c>
      <c r="T53" s="633" t="s">
        <v>310</v>
      </c>
    </row>
    <row r="54">
      <c r="A54" s="635" t="str">
        <f t="shared" si="46"/>
        <v>100-150 to 300mm</v>
      </c>
      <c r="B54" s="891">
        <f t="shared" ref="B54:D54" si="53">B29</f>
        <v>369.92</v>
      </c>
      <c r="C54" s="893">
        <f t="shared" si="53"/>
        <v>435.2</v>
      </c>
      <c r="D54" s="894">
        <f t="shared" si="53"/>
        <v>489.6</v>
      </c>
      <c r="E54" s="891">
        <f t="shared" ref="E54:G54" si="54">F29</f>
        <v>597.72</v>
      </c>
      <c r="F54" s="893">
        <f t="shared" si="54"/>
        <v>703.2</v>
      </c>
      <c r="G54" s="894">
        <f t="shared" si="54"/>
        <v>791.1</v>
      </c>
      <c r="H54" s="891">
        <f t="shared" ref="H54:J54" si="55">J29</f>
        <v>313.72</v>
      </c>
      <c r="I54" s="893">
        <f t="shared" si="55"/>
        <v>349.14</v>
      </c>
      <c r="J54" s="894">
        <f t="shared" si="55"/>
        <v>394.68</v>
      </c>
      <c r="K54" s="891">
        <f>B42*numberDwellingsUK/1000</f>
        <v>3313.429382</v>
      </c>
      <c r="L54" s="893">
        <f>C42*numberDwellingsUK/1000</f>
        <v>3497.508792</v>
      </c>
      <c r="M54" s="894">
        <f>D42*numberDwellingsUK/1000</f>
        <v>3644.77232</v>
      </c>
      <c r="N54" s="113">
        <f>E42*numberDwellingsUK/1000</f>
        <v>289.932108</v>
      </c>
      <c r="O54" s="115">
        <f>F42*numberDwellingsUK/1000</f>
        <v>306.0394474</v>
      </c>
      <c r="P54" s="117">
        <f>G42*numberDwellingsUK/1000</f>
        <v>318.9253188</v>
      </c>
      <c r="Q54" s="113">
        <f>H42*numberDwellingsUK/1000</f>
        <v>202.0908594</v>
      </c>
      <c r="R54" s="115">
        <f>I42*numberDwellingsUK/1000</f>
        <v>213.3181294</v>
      </c>
      <c r="S54" s="117">
        <f>J42*numberDwellingsUK/1000</f>
        <v>222.2999454</v>
      </c>
      <c r="T54" s="633" t="s">
        <v>310</v>
      </c>
    </row>
    <row r="55">
      <c r="A55" s="635" t="str">
        <f t="shared" si="46"/>
        <v>150-200 to 300mm</v>
      </c>
      <c r="B55" s="891">
        <f t="shared" ref="B55:D55" si="56">B30</f>
        <v>157.76</v>
      </c>
      <c r="C55" s="893">
        <f t="shared" si="56"/>
        <v>179.52</v>
      </c>
      <c r="D55" s="894">
        <f t="shared" si="56"/>
        <v>201.28</v>
      </c>
      <c r="E55" s="891">
        <f t="shared" ref="E55:G55" si="57">F30</f>
        <v>254.91</v>
      </c>
      <c r="F55" s="893">
        <f t="shared" si="57"/>
        <v>290.07</v>
      </c>
      <c r="G55" s="894">
        <f t="shared" si="57"/>
        <v>325.23</v>
      </c>
      <c r="H55" s="891">
        <f t="shared" ref="H55:J55" si="58">J30</f>
        <v>131.56</v>
      </c>
      <c r="I55" s="893">
        <f t="shared" si="58"/>
        <v>146.74</v>
      </c>
      <c r="J55" s="894">
        <f t="shared" si="58"/>
        <v>166.98</v>
      </c>
      <c r="K55" s="891">
        <f>B43*numberDwellingsUK/1000</f>
        <v>2892.687367</v>
      </c>
      <c r="L55" s="893">
        <f>C43*numberDwellingsUK/1000</f>
        <v>3053.392221</v>
      </c>
      <c r="M55" s="894">
        <f>D43*numberDwellingsUK/1000</f>
        <v>3181.956104</v>
      </c>
      <c r="N55" s="113">
        <f>E43*numberDwellingsUK/1000</f>
        <v>216.4934524</v>
      </c>
      <c r="O55" s="115">
        <f>F43*numberDwellingsUK/1000</f>
        <v>228.5208664</v>
      </c>
      <c r="P55" s="117">
        <f>G43*numberDwellingsUK/1000</f>
        <v>238.1427976</v>
      </c>
      <c r="Q55" s="113">
        <f>H43*numberDwellingsUK/1000</f>
        <v>167.8334927</v>
      </c>
      <c r="R55" s="115">
        <f>I43*numberDwellingsUK/1000</f>
        <v>177.1575756</v>
      </c>
      <c r="S55" s="117">
        <f>J43*numberDwellingsUK/1000</f>
        <v>184.616842</v>
      </c>
      <c r="T55" s="633" t="s">
        <v>133</v>
      </c>
    </row>
    <row r="56">
      <c r="A56" s="635" t="str">
        <f t="shared" si="46"/>
        <v>200-250 to 300mm</v>
      </c>
      <c r="B56" s="754">
        <f t="shared" ref="B56:D56" si="59">B31</f>
        <v>70.72</v>
      </c>
      <c r="C56" s="756">
        <f t="shared" si="59"/>
        <v>76.16</v>
      </c>
      <c r="D56" s="757">
        <f t="shared" si="59"/>
        <v>87.04</v>
      </c>
      <c r="E56" s="754">
        <f t="shared" ref="E56:G56" si="60">F31</f>
        <v>114.27</v>
      </c>
      <c r="F56" s="756">
        <f t="shared" si="60"/>
        <v>123.06</v>
      </c>
      <c r="G56" s="757">
        <f t="shared" si="60"/>
        <v>140.64</v>
      </c>
      <c r="H56" s="754">
        <f t="shared" ref="H56:J56" si="61">J31</f>
        <v>55.66</v>
      </c>
      <c r="I56" s="756">
        <f t="shared" si="61"/>
        <v>60.72</v>
      </c>
      <c r="J56" s="757">
        <f t="shared" si="61"/>
        <v>70.84</v>
      </c>
      <c r="K56" s="754">
        <f>B44*numberDwellingsUK/1000</f>
        <v>2791.214554</v>
      </c>
      <c r="L56" s="756">
        <f>C44*numberDwellingsUK/1000</f>
        <v>2946.282029</v>
      </c>
      <c r="M56" s="757">
        <f>D44*numberDwellingsUK/1000</f>
        <v>3070.336009</v>
      </c>
      <c r="N56" s="403">
        <f>E44*numberDwellingsUK/1000</f>
        <v>172.5007705</v>
      </c>
      <c r="O56" s="405">
        <f>F44*numberDwellingsUK/1000</f>
        <v>182.0841466</v>
      </c>
      <c r="P56" s="572">
        <f>G44*numberDwellingsUK/1000</f>
        <v>189.7508475</v>
      </c>
      <c r="Q56" s="403">
        <f>H44*numberDwellingsUK/1000</f>
        <v>159.9243271</v>
      </c>
      <c r="R56" s="405">
        <f>I44*numberDwellingsUK/1000</f>
        <v>168.8090119</v>
      </c>
      <c r="S56" s="572">
        <f>J44*numberDwellingsUK/1000</f>
        <v>175.9167598</v>
      </c>
      <c r="T56" s="372" t="s">
        <v>133</v>
      </c>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6">
    <mergeCell ref="E24:E25"/>
    <mergeCell ref="I24:I25"/>
    <mergeCell ref="M24:M25"/>
    <mergeCell ref="N24:N25"/>
    <mergeCell ref="B48:J48"/>
    <mergeCell ref="K48:S48"/>
  </mergeCells>
  <printOptions/>
  <pageMargins bottom="0.75" footer="0.0" header="0.0" left="0.7" right="0.7" top="0.75"/>
  <pageSetup paperSize="9"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64.33"/>
    <col customWidth="1" min="2" max="7" width="10.44"/>
    <col customWidth="1" min="8" max="8" width="14.44"/>
    <col customWidth="1" min="9" max="10" width="10.44"/>
    <col customWidth="1" min="11" max="11" width="12.44"/>
    <col customWidth="1" min="12" max="19" width="10.44"/>
    <col customWidth="1" min="20" max="20" width="19.33"/>
    <col customWidth="1" min="21" max="26" width="10.44"/>
  </cols>
  <sheetData>
    <row r="1">
      <c r="A1" s="90" t="s">
        <v>676</v>
      </c>
      <c r="B1" s="1"/>
      <c r="C1" s="1"/>
      <c r="D1" s="1"/>
      <c r="E1" s="1"/>
      <c r="F1" s="1"/>
      <c r="G1" s="1"/>
      <c r="H1" s="1"/>
      <c r="I1" s="2"/>
      <c r="J1" s="2"/>
      <c r="K1" s="2"/>
    </row>
    <row r="2">
      <c r="A2" s="90" t="s">
        <v>677</v>
      </c>
      <c r="B2" s="1"/>
      <c r="C2" s="1"/>
      <c r="D2" s="1"/>
      <c r="E2" s="1"/>
      <c r="F2" s="1"/>
      <c r="G2" s="1"/>
      <c r="H2" s="1"/>
      <c r="I2" s="2"/>
      <c r="J2" s="2"/>
      <c r="K2" s="2"/>
    </row>
    <row r="3">
      <c r="A3" s="425" t="s">
        <v>678</v>
      </c>
    </row>
    <row r="4">
      <c r="A4" s="425" t="s">
        <v>679</v>
      </c>
    </row>
    <row r="5">
      <c r="A5" s="425" t="s">
        <v>680</v>
      </c>
    </row>
    <row r="6" ht="78.75" customHeight="1">
      <c r="A6" s="425" t="s">
        <v>681</v>
      </c>
    </row>
    <row r="7">
      <c r="A7" s="425" t="s">
        <v>682</v>
      </c>
    </row>
    <row r="8">
      <c r="A8" s="425"/>
    </row>
    <row r="9">
      <c r="A9" s="425"/>
    </row>
    <row r="10">
      <c r="A10" s="899" t="s">
        <v>683</v>
      </c>
      <c r="B10" s="900"/>
      <c r="C10" s="900"/>
      <c r="D10" s="900"/>
      <c r="E10" s="900"/>
      <c r="F10" s="901"/>
    </row>
    <row r="11">
      <c r="A11" s="902" t="s">
        <v>684</v>
      </c>
      <c r="F11" s="903"/>
      <c r="H11" s="98" t="s">
        <v>685</v>
      </c>
    </row>
    <row r="12">
      <c r="A12" s="902"/>
      <c r="F12" s="903"/>
      <c r="H12" s="98" t="s">
        <v>686</v>
      </c>
    </row>
    <row r="13">
      <c r="A13" s="904" t="s">
        <v>687</v>
      </c>
      <c r="B13" s="725"/>
      <c r="C13" s="725"/>
      <c r="D13" s="725"/>
      <c r="E13" s="725"/>
      <c r="F13" s="903"/>
    </row>
    <row r="14">
      <c r="A14" s="905"/>
      <c r="B14" s="725" t="s">
        <v>688</v>
      </c>
      <c r="C14" s="725"/>
      <c r="D14" s="725" t="s">
        <v>689</v>
      </c>
      <c r="E14" s="725"/>
      <c r="F14" s="903"/>
    </row>
    <row r="15">
      <c r="A15" s="904" t="s">
        <v>638</v>
      </c>
      <c r="B15" s="725">
        <v>1.1</v>
      </c>
      <c r="C15" s="725">
        <v>1.1</v>
      </c>
      <c r="D15" s="725">
        <v>2.1</v>
      </c>
      <c r="E15" s="725">
        <v>2.1</v>
      </c>
      <c r="F15" s="903" t="s">
        <v>690</v>
      </c>
    </row>
    <row r="16">
      <c r="A16" s="904"/>
      <c r="B16" s="725"/>
      <c r="C16" s="725"/>
      <c r="D16" s="725"/>
      <c r="E16" s="725"/>
      <c r="F16" s="903"/>
    </row>
    <row r="17">
      <c r="A17" s="905"/>
      <c r="B17" s="725" t="s">
        <v>691</v>
      </c>
      <c r="C17" s="725" t="s">
        <v>692</v>
      </c>
      <c r="D17" s="725" t="s">
        <v>691</v>
      </c>
      <c r="E17" s="725" t="s">
        <v>692</v>
      </c>
      <c r="F17" s="903"/>
    </row>
    <row r="18">
      <c r="A18" s="904" t="s">
        <v>693</v>
      </c>
      <c r="B18" s="725">
        <v>50.7</v>
      </c>
      <c r="C18" s="725">
        <v>50.7</v>
      </c>
      <c r="D18" s="725">
        <v>51.5</v>
      </c>
      <c r="E18" s="725">
        <v>50.8</v>
      </c>
      <c r="F18" s="903" t="s">
        <v>694</v>
      </c>
    </row>
    <row r="19">
      <c r="A19" s="904" t="s">
        <v>695</v>
      </c>
      <c r="B19" s="725">
        <v>34.5</v>
      </c>
      <c r="C19" s="725">
        <v>19.9</v>
      </c>
      <c r="D19" s="725">
        <v>29.0</v>
      </c>
      <c r="E19" s="725">
        <v>15.9</v>
      </c>
      <c r="F19" s="903" t="s">
        <v>694</v>
      </c>
    </row>
    <row r="20">
      <c r="A20" s="904" t="s">
        <v>696</v>
      </c>
      <c r="B20" s="725">
        <v>1.8</v>
      </c>
      <c r="C20" s="725">
        <v>2.2</v>
      </c>
      <c r="D20" s="725">
        <v>3.8</v>
      </c>
      <c r="E20" s="725">
        <v>2.4</v>
      </c>
      <c r="F20" s="903" t="s">
        <v>694</v>
      </c>
    </row>
    <row r="21">
      <c r="A21" s="904" t="s">
        <v>697</v>
      </c>
      <c r="B21" s="725">
        <v>0.2</v>
      </c>
      <c r="C21" s="725">
        <v>1.0</v>
      </c>
      <c r="D21" s="725">
        <v>0.2</v>
      </c>
      <c r="E21" s="725">
        <v>0.5</v>
      </c>
      <c r="F21" s="903" t="s">
        <v>694</v>
      </c>
    </row>
    <row r="22">
      <c r="A22" s="906"/>
      <c r="F22" s="903"/>
    </row>
    <row r="23">
      <c r="A23" s="907" t="s">
        <v>698</v>
      </c>
      <c r="B23" s="124"/>
      <c r="C23" s="124"/>
      <c r="D23" s="124"/>
      <c r="E23" s="124"/>
      <c r="F23" s="903"/>
    </row>
    <row r="24">
      <c r="A24" s="908" t="s">
        <v>699</v>
      </c>
      <c r="B24" s="124">
        <f t="shared" ref="B24:E24" si="1">B19-B20</f>
        <v>32.7</v>
      </c>
      <c r="C24" s="124">
        <f t="shared" si="1"/>
        <v>17.7</v>
      </c>
      <c r="D24" s="124">
        <f t="shared" si="1"/>
        <v>25.2</v>
      </c>
      <c r="E24" s="124">
        <f t="shared" si="1"/>
        <v>13.5</v>
      </c>
      <c r="F24" s="903" t="s">
        <v>694</v>
      </c>
    </row>
    <row r="25">
      <c r="A25" s="908" t="s">
        <v>700</v>
      </c>
      <c r="B25" s="124">
        <f t="shared" ref="B25:E25" si="2">B15-0.13</f>
        <v>0.97</v>
      </c>
      <c r="C25" s="124">
        <f t="shared" si="2"/>
        <v>0.97</v>
      </c>
      <c r="D25" s="124">
        <f t="shared" si="2"/>
        <v>1.97</v>
      </c>
      <c r="E25" s="124">
        <f t="shared" si="2"/>
        <v>1.97</v>
      </c>
      <c r="F25" s="903" t="s">
        <v>690</v>
      </c>
    </row>
    <row r="26">
      <c r="A26" s="908" t="s">
        <v>702</v>
      </c>
      <c r="B26" s="124">
        <f t="shared" ref="B26:E26" si="3">B25*B24</f>
        <v>31.719</v>
      </c>
      <c r="C26" s="124">
        <f t="shared" si="3"/>
        <v>17.169</v>
      </c>
      <c r="D26" s="124">
        <f t="shared" si="3"/>
        <v>49.644</v>
      </c>
      <c r="E26" s="124">
        <f t="shared" si="3"/>
        <v>26.595</v>
      </c>
      <c r="F26" s="903" t="s">
        <v>704</v>
      </c>
    </row>
    <row r="27">
      <c r="A27" s="908" t="s">
        <v>706</v>
      </c>
      <c r="B27" s="124"/>
      <c r="C27" s="124">
        <f>B26-C26</f>
        <v>14.55</v>
      </c>
      <c r="D27" s="124"/>
      <c r="E27" s="124">
        <f>D26-E26</f>
        <v>23.049</v>
      </c>
      <c r="F27" s="903" t="s">
        <v>704</v>
      </c>
    </row>
    <row r="28">
      <c r="A28" s="908" t="s">
        <v>713</v>
      </c>
      <c r="B28" s="912">
        <f t="shared" ref="B28:E28" si="4">B26/(B18-B21)</f>
        <v>0.6280990099</v>
      </c>
      <c r="C28" s="912">
        <f t="shared" si="4"/>
        <v>0.3454527163</v>
      </c>
      <c r="D28" s="912">
        <f t="shared" si="4"/>
        <v>0.9677192982</v>
      </c>
      <c r="E28" s="912">
        <f t="shared" si="4"/>
        <v>0.5287276342</v>
      </c>
      <c r="F28" s="903" t="s">
        <v>690</v>
      </c>
    </row>
    <row r="29">
      <c r="A29" s="916"/>
      <c r="B29" s="124"/>
      <c r="C29" s="124"/>
      <c r="D29" s="124"/>
      <c r="E29" s="124"/>
      <c r="F29" s="903"/>
      <c r="H29" s="98" t="s">
        <v>638</v>
      </c>
      <c r="I29" s="98" t="s">
        <v>716</v>
      </c>
    </row>
    <row r="30">
      <c r="A30" s="907" t="s">
        <v>717</v>
      </c>
      <c r="B30" s="124"/>
      <c r="C30" s="124"/>
      <c r="D30" s="124"/>
      <c r="E30" s="124"/>
      <c r="F30" s="903"/>
      <c r="H30" s="98">
        <v>0.0</v>
      </c>
      <c r="I30" s="98">
        <v>0.0</v>
      </c>
    </row>
    <row r="31">
      <c r="A31" s="908" t="s">
        <v>720</v>
      </c>
      <c r="B31" s="124">
        <v>45.0</v>
      </c>
      <c r="C31" s="124">
        <f t="shared" ref="C31:E31" si="5">B31</f>
        <v>45</v>
      </c>
      <c r="D31" s="124">
        <f t="shared" si="5"/>
        <v>45</v>
      </c>
      <c r="E31" s="124">
        <f t="shared" si="5"/>
        <v>45</v>
      </c>
      <c r="F31" s="903" t="s">
        <v>694</v>
      </c>
      <c r="H31" s="98">
        <f>C15</f>
        <v>1.1</v>
      </c>
      <c r="I31" s="270">
        <f>C38</f>
        <v>15.54554615</v>
      </c>
    </row>
    <row r="32">
      <c r="A32" s="908" t="s">
        <v>702</v>
      </c>
      <c r="B32" s="316">
        <f t="shared" ref="B32:E32" si="6">B$28*B31</f>
        <v>28.26445545</v>
      </c>
      <c r="C32" s="316">
        <f t="shared" si="6"/>
        <v>15.54537223</v>
      </c>
      <c r="D32" s="316">
        <f t="shared" si="6"/>
        <v>43.54736842</v>
      </c>
      <c r="E32" s="316">
        <f t="shared" si="6"/>
        <v>23.79274354</v>
      </c>
      <c r="F32" s="903" t="s">
        <v>704</v>
      </c>
      <c r="H32" s="98">
        <f>E15</f>
        <v>2.1</v>
      </c>
      <c r="I32" s="270">
        <f>E38</f>
        <v>24.14454152</v>
      </c>
    </row>
    <row r="33">
      <c r="A33" s="908" t="s">
        <v>706</v>
      </c>
      <c r="B33" s="316"/>
      <c r="C33" s="931">
        <f>B32-C32</f>
        <v>12.71908321</v>
      </c>
      <c r="D33" s="316"/>
      <c r="E33" s="931">
        <f>D32-E32</f>
        <v>19.75462488</v>
      </c>
      <c r="F33" s="903" t="s">
        <v>704</v>
      </c>
    </row>
    <row r="34">
      <c r="A34" s="916"/>
      <c r="B34" s="124"/>
      <c r="C34" s="124"/>
      <c r="D34" s="124"/>
      <c r="E34" s="124"/>
      <c r="F34" s="903"/>
    </row>
    <row r="35">
      <c r="A35" s="933" t="s">
        <v>730</v>
      </c>
      <c r="B35" s="124"/>
      <c r="C35" s="124"/>
      <c r="D35" s="124"/>
      <c r="E35" s="124"/>
      <c r="F35" s="903"/>
    </row>
    <row r="36">
      <c r="A36" s="908" t="s">
        <v>732</v>
      </c>
      <c r="B36" s="124">
        <v>55.0</v>
      </c>
      <c r="C36" s="124">
        <v>55.0</v>
      </c>
      <c r="D36" s="124">
        <v>55.0</v>
      </c>
      <c r="E36" s="124">
        <v>55.0</v>
      </c>
      <c r="F36" s="903" t="s">
        <v>694</v>
      </c>
    </row>
    <row r="37">
      <c r="A37" s="908" t="s">
        <v>702</v>
      </c>
      <c r="B37" s="316">
        <f t="shared" ref="B37:E37" si="7">B$28*B36</f>
        <v>34.54544554</v>
      </c>
      <c r="C37" s="316">
        <f t="shared" si="7"/>
        <v>18.9998994</v>
      </c>
      <c r="D37" s="316">
        <f t="shared" si="7"/>
        <v>53.2245614</v>
      </c>
      <c r="E37" s="316">
        <f t="shared" si="7"/>
        <v>29.08001988</v>
      </c>
      <c r="F37" s="903" t="s">
        <v>704</v>
      </c>
    </row>
    <row r="38">
      <c r="A38" s="938" t="s">
        <v>706</v>
      </c>
      <c r="B38" s="939"/>
      <c r="C38" s="940">
        <f>B37-C37</f>
        <v>15.54554615</v>
      </c>
      <c r="D38" s="939"/>
      <c r="E38" s="940">
        <f>D37-E37</f>
        <v>24.14454152</v>
      </c>
      <c r="F38" s="941" t="s">
        <v>704</v>
      </c>
    </row>
    <row r="39">
      <c r="A39" s="425"/>
      <c r="K39" s="290"/>
    </row>
    <row r="40">
      <c r="A40" s="425"/>
    </row>
    <row r="41">
      <c r="A41" s="425" t="s">
        <v>735</v>
      </c>
    </row>
    <row r="42">
      <c r="A42" s="425" t="s">
        <v>736</v>
      </c>
    </row>
    <row r="43">
      <c r="A43" s="942"/>
      <c r="B43" s="943" t="s">
        <v>638</v>
      </c>
      <c r="C43" s="943" t="s">
        <v>716</v>
      </c>
      <c r="D43" s="944" t="s">
        <v>177</v>
      </c>
    </row>
    <row r="44">
      <c r="A44" s="945" t="s">
        <v>737</v>
      </c>
      <c r="B44" s="124">
        <v>0.35</v>
      </c>
      <c r="C44" s="912">
        <f t="shared" ref="C44:C46" si="8">-2.6349*B44*B44+17.031*B44</f>
        <v>5.63807475</v>
      </c>
      <c r="D44" s="946">
        <v>0.166</v>
      </c>
      <c r="E44" s="98" t="s">
        <v>118</v>
      </c>
    </row>
    <row r="45">
      <c r="A45" s="945" t="s">
        <v>738</v>
      </c>
      <c r="B45" s="124">
        <v>0.65</v>
      </c>
      <c r="C45" s="912">
        <f t="shared" si="8"/>
        <v>9.95690475</v>
      </c>
      <c r="D45" s="946">
        <v>0.407</v>
      </c>
      <c r="E45" s="98" t="s">
        <v>118</v>
      </c>
    </row>
    <row r="46">
      <c r="A46" s="948" t="s">
        <v>739</v>
      </c>
      <c r="B46" s="353">
        <v>1.6</v>
      </c>
      <c r="C46" s="949">
        <f t="shared" si="8"/>
        <v>20.504256</v>
      </c>
      <c r="D46" s="950">
        <v>0.427</v>
      </c>
      <c r="E46" s="98" t="s">
        <v>118</v>
      </c>
    </row>
    <row r="47">
      <c r="A47" s="425"/>
    </row>
    <row r="48">
      <c r="A48" s="425"/>
    </row>
    <row r="49">
      <c r="A49" s="425"/>
    </row>
    <row r="50">
      <c r="A50" s="425"/>
    </row>
    <row r="51">
      <c r="A51" s="425"/>
    </row>
    <row r="52">
      <c r="A52" s="425"/>
    </row>
    <row r="53">
      <c r="A53" s="723" t="s">
        <v>740</v>
      </c>
      <c r="B53" s="506" t="s">
        <v>5</v>
      </c>
      <c r="C53" s="506" t="s">
        <v>6</v>
      </c>
      <c r="D53" s="508" t="s">
        <v>7</v>
      </c>
    </row>
    <row r="54">
      <c r="A54" s="945" t="s">
        <v>741</v>
      </c>
      <c r="B54" s="725">
        <v>3000.0</v>
      </c>
      <c r="C54" s="725">
        <v>1500.0</v>
      </c>
      <c r="D54" s="726">
        <v>1000.0</v>
      </c>
      <c r="E54" s="98" t="s">
        <v>233</v>
      </c>
      <c r="I54" s="951"/>
    </row>
    <row r="55">
      <c r="A55" s="747" t="s">
        <v>742</v>
      </c>
      <c r="D55" s="163"/>
    </row>
    <row r="56">
      <c r="A56" s="945" t="s">
        <v>744</v>
      </c>
      <c r="B56" s="952">
        <f t="shared" ref="B56:D56" si="9">$C44/B$54</f>
        <v>0.00187935825</v>
      </c>
      <c r="C56" s="952">
        <f t="shared" si="9"/>
        <v>0.0037587165</v>
      </c>
      <c r="D56" s="953">
        <f t="shared" si="9"/>
        <v>0.00563807475</v>
      </c>
      <c r="E56" s="98" t="s">
        <v>745</v>
      </c>
    </row>
    <row r="57">
      <c r="A57" s="945" t="s">
        <v>746</v>
      </c>
      <c r="B57" s="952">
        <f t="shared" ref="B57:D57" si="10">$C45/B$54</f>
        <v>0.00331896825</v>
      </c>
      <c r="C57" s="952">
        <f t="shared" si="10"/>
        <v>0.0066379365</v>
      </c>
      <c r="D57" s="953">
        <f t="shared" si="10"/>
        <v>0.00995690475</v>
      </c>
      <c r="E57" s="98" t="s">
        <v>745</v>
      </c>
    </row>
    <row r="58">
      <c r="A58" s="948" t="s">
        <v>747</v>
      </c>
      <c r="B58" s="954">
        <f t="shared" ref="B58:D58" si="11">$C46/B$54</f>
        <v>0.006834752</v>
      </c>
      <c r="C58" s="954">
        <f t="shared" si="11"/>
        <v>0.013669504</v>
      </c>
      <c r="D58" s="955">
        <f t="shared" si="11"/>
        <v>0.020504256</v>
      </c>
      <c r="E58" s="98" t="s">
        <v>745</v>
      </c>
    </row>
    <row r="59">
      <c r="A59" s="425"/>
    </row>
    <row r="60">
      <c r="A60" s="723" t="s">
        <v>751</v>
      </c>
      <c r="B60" s="506" t="s">
        <v>5</v>
      </c>
      <c r="C60" s="506" t="s">
        <v>6</v>
      </c>
      <c r="D60" s="508" t="s">
        <v>7</v>
      </c>
    </row>
    <row r="61">
      <c r="A61" s="724" t="s">
        <v>756</v>
      </c>
      <c r="B61" s="956">
        <v>0.5</v>
      </c>
      <c r="C61" s="956">
        <v>0.8</v>
      </c>
      <c r="D61" s="946">
        <v>0.9</v>
      </c>
      <c r="E61" s="98" t="s">
        <v>759</v>
      </c>
    </row>
    <row r="62">
      <c r="A62" s="724" t="s">
        <v>761</v>
      </c>
      <c r="B62" s="956">
        <v>0.1</v>
      </c>
      <c r="C62" s="956">
        <v>0.05</v>
      </c>
      <c r="D62" s="946">
        <v>0.02</v>
      </c>
      <c r="E62" s="98" t="s">
        <v>762</v>
      </c>
    </row>
    <row r="63">
      <c r="A63" s="727" t="s">
        <v>763</v>
      </c>
      <c r="B63" s="960">
        <v>0.8</v>
      </c>
      <c r="C63" s="960">
        <v>1.0</v>
      </c>
      <c r="D63" s="950">
        <v>1.2</v>
      </c>
      <c r="E63" s="98" t="s">
        <v>769</v>
      </c>
    </row>
    <row r="64">
      <c r="A64" s="962" t="s">
        <v>771</v>
      </c>
      <c r="B64" s="546">
        <f t="shared" ref="B64:D64" si="12">B61*(1-B62)*B63</f>
        <v>0.36</v>
      </c>
      <c r="C64" s="546">
        <f t="shared" si="12"/>
        <v>0.76</v>
      </c>
      <c r="D64" s="547">
        <f t="shared" si="12"/>
        <v>1.0584</v>
      </c>
    </row>
    <row r="65">
      <c r="A65" s="425"/>
    </row>
    <row r="66">
      <c r="A66" s="425"/>
    </row>
    <row r="67" ht="17.25" customHeight="1">
      <c r="A67" s="473" t="s">
        <v>775</v>
      </c>
      <c r="B67" s="468" t="s">
        <v>30</v>
      </c>
      <c r="C67" s="469"/>
      <c r="D67" s="469"/>
      <c r="E67" s="468" t="s">
        <v>31</v>
      </c>
      <c r="F67" s="469"/>
      <c r="G67" s="470"/>
      <c r="I67" s="92"/>
      <c r="J67" s="498"/>
      <c r="K67" s="26"/>
      <c r="L67" s="26"/>
      <c r="M67" s="92"/>
    </row>
    <row r="68">
      <c r="A68" s="635"/>
      <c r="B68" s="747" t="s">
        <v>133</v>
      </c>
      <c r="C68" s="667" t="s">
        <v>310</v>
      </c>
      <c r="D68" s="667" t="s">
        <v>134</v>
      </c>
      <c r="E68" s="747" t="s">
        <v>133</v>
      </c>
      <c r="F68" s="667" t="s">
        <v>310</v>
      </c>
      <c r="G68" s="970" t="s">
        <v>134</v>
      </c>
      <c r="K68" s="26"/>
      <c r="L68" s="26"/>
    </row>
    <row r="69">
      <c r="A69" s="635" t="s">
        <v>790</v>
      </c>
      <c r="B69" s="971">
        <f>B56*MeanDomesticGasBill*gasBillPropSpace*B$64</f>
        <v>5.006366154</v>
      </c>
      <c r="C69" s="973">
        <f>C56*MeanDomesticGasBill*gasBillPropSpace*C$64</f>
        <v>21.13799043</v>
      </c>
      <c r="D69" s="973">
        <f>D56*MeanDomesticGasBill*gasBillPropSpace*D$64</f>
        <v>44.15614947</v>
      </c>
      <c r="E69" s="971">
        <f>B56*MeanDomesticOilBill*gasBillPropSpace*'Radiator foil'!B$64</f>
        <v>8.408654173</v>
      </c>
      <c r="F69" s="973">
        <f>C56*MeanDomesticOilBill*gasBillPropSpace*'Radiator foil'!C$64</f>
        <v>35.50320651</v>
      </c>
      <c r="G69" s="978">
        <f>D56*MeanDomesticOilBill*gasBillPropSpace*'Radiator foil'!D$64</f>
        <v>74.16432981</v>
      </c>
      <c r="K69" s="187"/>
      <c r="L69" s="187"/>
      <c r="M69" s="245"/>
    </row>
    <row r="70">
      <c r="A70" s="73" t="s">
        <v>800</v>
      </c>
      <c r="B70" s="971">
        <f>B57*MeanDomesticGasBill*gasBillPropSpace*B$64</f>
        <v>8.841300115</v>
      </c>
      <c r="C70" s="973">
        <f>C57*MeanDomesticGasBill*gasBillPropSpace*C$64</f>
        <v>37.32993382</v>
      </c>
      <c r="D70" s="973">
        <f>D57*MeanDomesticGasBill*gasBillPropSpace*D$64</f>
        <v>77.98026701</v>
      </c>
      <c r="E70" s="971">
        <f>B57*MeanDomesticOilBill*gasBillPropSpace*'Radiator foil'!B$64</f>
        <v>14.84977983</v>
      </c>
      <c r="F70" s="973">
        <f>C57*MeanDomesticOilBill*gasBillPropSpace*'Radiator foil'!C$64</f>
        <v>62.69907038</v>
      </c>
      <c r="G70" s="978">
        <f>D57*MeanDomesticOilBill*gasBillPropSpace*'Radiator foil'!D$64</f>
        <v>130.9750581</v>
      </c>
      <c r="K70" s="187"/>
      <c r="L70" s="187"/>
      <c r="M70" s="245"/>
    </row>
    <row r="71">
      <c r="A71" s="73" t="s">
        <v>803</v>
      </c>
      <c r="B71" s="986">
        <f>B58*MeanDomesticGasBill*gasBillPropSpace*B$64</f>
        <v>18.20689115</v>
      </c>
      <c r="C71" s="987">
        <f>C58*MeanDomesticGasBill*gasBillPropSpace*C$64</f>
        <v>76.87354039</v>
      </c>
      <c r="D71" s="987">
        <f>D58*MeanDomesticGasBill*gasBillPropSpace*D$64</f>
        <v>160.5847799</v>
      </c>
      <c r="E71" s="986">
        <f>B58*MeanDomesticOilBill*gasBillPropSpace*'Radiator foil'!B$64</f>
        <v>30.58015465</v>
      </c>
      <c r="F71" s="987">
        <f>C58*MeanDomesticOilBill*gasBillPropSpace*'Radiator foil'!C$64</f>
        <v>129.1162085</v>
      </c>
      <c r="G71" s="989">
        <f>D58*MeanDomesticOilBill*gasBillPropSpace*'Radiator foil'!D$64</f>
        <v>269.716964</v>
      </c>
      <c r="K71" s="187"/>
      <c r="L71" s="187"/>
      <c r="M71" s="245"/>
    </row>
    <row r="72">
      <c r="A72" s="425"/>
      <c r="N72" s="245"/>
    </row>
    <row r="73" ht="17.25" customHeight="1">
      <c r="A73" s="990" t="s">
        <v>805</v>
      </c>
      <c r="B73" s="468" t="s">
        <v>30</v>
      </c>
      <c r="C73" s="469"/>
      <c r="D73" s="469"/>
      <c r="E73" s="468" t="s">
        <v>31</v>
      </c>
      <c r="F73" s="469"/>
      <c r="G73" s="470"/>
      <c r="H73" s="26"/>
      <c r="I73" s="92"/>
      <c r="J73" s="498"/>
      <c r="K73" s="26"/>
      <c r="L73" s="26"/>
      <c r="M73" s="92"/>
    </row>
    <row r="74">
      <c r="A74" s="724"/>
      <c r="B74" s="747" t="s">
        <v>133</v>
      </c>
      <c r="C74" s="667" t="s">
        <v>310</v>
      </c>
      <c r="D74" s="667" t="s">
        <v>134</v>
      </c>
      <c r="E74" s="747" t="s">
        <v>133</v>
      </c>
      <c r="F74" s="667" t="s">
        <v>310</v>
      </c>
      <c r="G74" s="970" t="s">
        <v>134</v>
      </c>
      <c r="H74" s="26"/>
      <c r="K74" s="26"/>
      <c r="L74" s="26"/>
    </row>
    <row r="75">
      <c r="A75" s="724" t="s">
        <v>790</v>
      </c>
      <c r="B75" s="993">
        <f>B69*VALUE(gasPricePerkWh)/100</f>
        <v>0.3990073824</v>
      </c>
      <c r="C75" s="994">
        <f>C69*VALUE(gasPricePerkWh)/100</f>
        <v>1.684697837</v>
      </c>
      <c r="D75" s="994">
        <f>D69*VALUE(gasPricePerkWh)/100</f>
        <v>3.519245113</v>
      </c>
      <c r="E75" s="993">
        <f>E69*oilPriceP/100</f>
        <v>0.8124303549</v>
      </c>
      <c r="F75" s="994">
        <f>F69*oilPriceP/100</f>
        <v>3.430261498</v>
      </c>
      <c r="G75" s="995">
        <f>G69*oilPriceP/100</f>
        <v>7.16563573</v>
      </c>
      <c r="H75" s="996"/>
      <c r="I75" s="245"/>
      <c r="J75" s="245"/>
      <c r="K75" s="996"/>
      <c r="L75" s="996"/>
      <c r="M75" s="245"/>
    </row>
    <row r="76">
      <c r="A76" s="945" t="s">
        <v>746</v>
      </c>
      <c r="B76" s="993">
        <f>B70*VALUE(gasPricePerkWh)/100</f>
        <v>0.7046516192</v>
      </c>
      <c r="C76" s="994">
        <f>C70*VALUE(gasPricePerkWh)/100</f>
        <v>2.975195725</v>
      </c>
      <c r="D76" s="994">
        <f>D70*VALUE(gasPricePerkWh)/100</f>
        <v>6.215027281</v>
      </c>
      <c r="E76" s="993">
        <f>E70*oilPriceP/100</f>
        <v>1.434761336</v>
      </c>
      <c r="F76" s="994">
        <f>F70*oilPriceP/100</f>
        <v>6.057881196</v>
      </c>
      <c r="G76" s="995">
        <f>G70*oilPriceP/100</f>
        <v>12.65459498</v>
      </c>
      <c r="H76" s="996"/>
      <c r="I76" s="245"/>
      <c r="J76" s="245"/>
      <c r="L76" s="996"/>
      <c r="M76" s="245"/>
    </row>
    <row r="77">
      <c r="A77" s="948" t="s">
        <v>747</v>
      </c>
      <c r="B77" s="1001">
        <f>B71*VALUE(gasPricePerkWh)/100</f>
        <v>1.451089224</v>
      </c>
      <c r="C77" s="1002">
        <f>C71*VALUE(gasPricePerkWh)/100</f>
        <v>6.126821169</v>
      </c>
      <c r="D77" s="1002">
        <f>D71*VALUE(gasPricePerkWh)/100</f>
        <v>12.79860696</v>
      </c>
      <c r="E77" s="1001">
        <f>E71*oilPriceP/100</f>
        <v>2.954604314</v>
      </c>
      <c r="F77" s="1002">
        <f>F71*oilPriceP/100</f>
        <v>12.47499599</v>
      </c>
      <c r="G77" s="1005">
        <f>G71*oilPriceP/100</f>
        <v>26.05961005</v>
      </c>
      <c r="H77" s="996"/>
      <c r="I77" s="245"/>
      <c r="J77" s="245"/>
      <c r="K77" s="996"/>
      <c r="L77" s="996"/>
      <c r="M77" s="245"/>
    </row>
    <row r="78">
      <c r="N78" s="245"/>
    </row>
    <row r="79">
      <c r="A79" s="468" t="s">
        <v>215</v>
      </c>
      <c r="B79" s="468" t="s">
        <v>30</v>
      </c>
      <c r="C79" s="469"/>
      <c r="D79" s="470"/>
      <c r="E79" s="468" t="s">
        <v>31</v>
      </c>
      <c r="F79" s="469"/>
      <c r="G79" s="470"/>
      <c r="H79" s="469" t="s">
        <v>351</v>
      </c>
      <c r="I79" s="469"/>
      <c r="J79" s="470"/>
      <c r="N79" s="245"/>
    </row>
    <row r="80">
      <c r="A80" s="747" t="s">
        <v>821</v>
      </c>
      <c r="B80" s="74" t="s">
        <v>133</v>
      </c>
      <c r="C80" s="79" t="s">
        <v>310</v>
      </c>
      <c r="D80" s="824" t="s">
        <v>134</v>
      </c>
      <c r="E80" s="74" t="s">
        <v>133</v>
      </c>
      <c r="F80" s="79" t="s">
        <v>310</v>
      </c>
      <c r="G80" s="824" t="s">
        <v>134</v>
      </c>
      <c r="H80" s="79" t="s">
        <v>133</v>
      </c>
      <c r="I80" s="79" t="s">
        <v>310</v>
      </c>
      <c r="J80" s="824" t="s">
        <v>134</v>
      </c>
      <c r="N80" s="245"/>
    </row>
    <row r="81">
      <c r="A81" s="945" t="s">
        <v>790</v>
      </c>
      <c r="B81" s="327">
        <f>C81*0.9</f>
        <v>0.1248583037</v>
      </c>
      <c r="C81" s="328">
        <f>D44*propHomesGasHeating</f>
        <v>0.1387314485</v>
      </c>
      <c r="D81" s="329">
        <f t="shared" ref="D81:D83" si="14">C81*1.1</f>
        <v>0.1526045934</v>
      </c>
      <c r="E81" s="327">
        <f t="shared" ref="E81:E83" si="15">F81*0.8</f>
        <v>0.007092771583</v>
      </c>
      <c r="F81" s="328">
        <f>D44*propHomesOilHeating</f>
        <v>0.008865964478</v>
      </c>
      <c r="G81" s="329">
        <f t="shared" ref="G81:G83" si="16">F81*1.1</f>
        <v>0.009752560926</v>
      </c>
      <c r="H81" s="328">
        <f t="shared" ref="H81:J81" si="13">B81+E81</f>
        <v>0.1319510753</v>
      </c>
      <c r="I81" s="328">
        <f t="shared" si="13"/>
        <v>0.147597413</v>
      </c>
      <c r="J81" s="329">
        <f t="shared" si="13"/>
        <v>0.1623571543</v>
      </c>
      <c r="K81" s="98" t="s">
        <v>830</v>
      </c>
      <c r="N81" s="245"/>
    </row>
    <row r="82">
      <c r="A82" s="945" t="s">
        <v>746</v>
      </c>
      <c r="B82" s="327">
        <f t="shared" ref="B82:B83" si="18">C82*0.8</f>
        <v>0.2721142147</v>
      </c>
      <c r="C82" s="328">
        <f>D45*propHomesGasHeating</f>
        <v>0.3401427684</v>
      </c>
      <c r="D82" s="329">
        <f t="shared" si="14"/>
        <v>0.3741570453</v>
      </c>
      <c r="E82" s="327">
        <f t="shared" si="15"/>
        <v>0.01739010864</v>
      </c>
      <c r="F82" s="328">
        <f>D45*propHomesOilHeating</f>
        <v>0.0217376358</v>
      </c>
      <c r="G82" s="329">
        <f t="shared" si="16"/>
        <v>0.02391139938</v>
      </c>
      <c r="H82" s="328">
        <f t="shared" ref="H82:J82" si="17">B82+E82</f>
        <v>0.2895043234</v>
      </c>
      <c r="I82" s="328">
        <f t="shared" si="17"/>
        <v>0.3618804042</v>
      </c>
      <c r="J82" s="329">
        <f t="shared" si="17"/>
        <v>0.3980684446</v>
      </c>
      <c r="K82" s="98" t="s">
        <v>830</v>
      </c>
      <c r="N82" s="245"/>
    </row>
    <row r="83">
      <c r="A83" s="948" t="s">
        <v>747</v>
      </c>
      <c r="B83" s="331">
        <f t="shared" si="18"/>
        <v>0.2854859206</v>
      </c>
      <c r="C83" s="332">
        <f>D46*propHomesGasHeating</f>
        <v>0.3568574008</v>
      </c>
      <c r="D83" s="333">
        <f t="shared" si="14"/>
        <v>0.3925431408</v>
      </c>
      <c r="E83" s="331">
        <f t="shared" si="15"/>
        <v>0.01824465943</v>
      </c>
      <c r="F83" s="332">
        <f>D46*propHomesOilHeating</f>
        <v>0.02280582429</v>
      </c>
      <c r="G83" s="333">
        <f t="shared" si="16"/>
        <v>0.02508640672</v>
      </c>
      <c r="H83" s="332">
        <f t="shared" ref="H83:J83" si="19">B83+E83</f>
        <v>0.30373058</v>
      </c>
      <c r="I83" s="332">
        <f t="shared" si="19"/>
        <v>0.3796632251</v>
      </c>
      <c r="J83" s="333">
        <f t="shared" si="19"/>
        <v>0.4176295476</v>
      </c>
      <c r="K83" s="98" t="s">
        <v>830</v>
      </c>
      <c r="N83" s="245"/>
    </row>
    <row r="84">
      <c r="N84" s="245"/>
    </row>
    <row r="85">
      <c r="A85" s="425"/>
    </row>
    <row r="86">
      <c r="A86" s="116" t="s">
        <v>16</v>
      </c>
      <c r="B86" s="465" t="s">
        <v>11</v>
      </c>
      <c r="C86" s="9"/>
      <c r="D86" s="9"/>
      <c r="E86" s="9"/>
      <c r="F86" s="9"/>
      <c r="G86" s="9"/>
      <c r="H86" s="9"/>
      <c r="I86" s="9"/>
      <c r="J86" s="10"/>
      <c r="K86" s="465" t="s">
        <v>256</v>
      </c>
      <c r="L86" s="9"/>
      <c r="M86" s="9"/>
      <c r="N86" s="9"/>
      <c r="O86" s="9"/>
      <c r="P86" s="9"/>
      <c r="Q86" s="9"/>
      <c r="R86" s="9"/>
      <c r="S86" s="10"/>
      <c r="T86" s="467" t="s">
        <v>257</v>
      </c>
    </row>
    <row r="87">
      <c r="A87" s="326"/>
      <c r="B87" s="468" t="s">
        <v>30</v>
      </c>
      <c r="C87" s="469"/>
      <c r="D87" s="470"/>
      <c r="E87" s="468" t="s">
        <v>31</v>
      </c>
      <c r="F87" s="469"/>
      <c r="G87" s="470"/>
      <c r="H87" s="60" t="s">
        <v>32</v>
      </c>
      <c r="I87" s="57"/>
      <c r="J87" s="58"/>
      <c r="K87" s="468" t="s">
        <v>30</v>
      </c>
      <c r="L87" s="469"/>
      <c r="M87" s="470"/>
      <c r="N87" s="468" t="s">
        <v>31</v>
      </c>
      <c r="O87" s="469"/>
      <c r="P87" s="470"/>
      <c r="Q87" s="60" t="s">
        <v>32</v>
      </c>
      <c r="R87" s="57"/>
      <c r="S87" s="58"/>
      <c r="T87" s="474"/>
    </row>
    <row r="88">
      <c r="A88" s="473"/>
      <c r="B88" s="747" t="s">
        <v>5</v>
      </c>
      <c r="C88" s="69" t="s">
        <v>6</v>
      </c>
      <c r="D88" s="70" t="s">
        <v>7</v>
      </c>
      <c r="E88" s="747" t="s">
        <v>5</v>
      </c>
      <c r="F88" s="69" t="s">
        <v>6</v>
      </c>
      <c r="G88" s="70" t="s">
        <v>7</v>
      </c>
      <c r="H88" s="747" t="s">
        <v>5</v>
      </c>
      <c r="I88" s="69" t="s">
        <v>6</v>
      </c>
      <c r="J88" s="70" t="s">
        <v>7</v>
      </c>
      <c r="K88" s="747" t="s">
        <v>5</v>
      </c>
      <c r="L88" s="69" t="s">
        <v>6</v>
      </c>
      <c r="M88" s="70" t="s">
        <v>7</v>
      </c>
      <c r="N88" s="747" t="s">
        <v>5</v>
      </c>
      <c r="O88" s="69" t="s">
        <v>6</v>
      </c>
      <c r="P88" s="70" t="s">
        <v>7</v>
      </c>
      <c r="Q88" s="747" t="s">
        <v>5</v>
      </c>
      <c r="R88" s="69" t="s">
        <v>6</v>
      </c>
      <c r="S88" s="70" t="s">
        <v>7</v>
      </c>
      <c r="T88" s="474"/>
    </row>
    <row r="89">
      <c r="A89" s="635" t="str">
        <f t="shared" ref="A89:G89" si="20">A69</f>
        <v>Modern cavity wall</v>
      </c>
      <c r="B89" s="491">
        <f t="shared" si="20"/>
        <v>5.006366154</v>
      </c>
      <c r="C89" s="517">
        <f t="shared" si="20"/>
        <v>21.13799043</v>
      </c>
      <c r="D89" s="518">
        <f t="shared" si="20"/>
        <v>44.15614947</v>
      </c>
      <c r="E89" s="491">
        <f t="shared" si="20"/>
        <v>8.408654173</v>
      </c>
      <c r="F89" s="517">
        <f t="shared" si="20"/>
        <v>35.50320651</v>
      </c>
      <c r="G89" s="518">
        <f t="shared" si="20"/>
        <v>74.16432981</v>
      </c>
      <c r="H89" s="491" t="str">
        <f t="shared" ref="H89:J89" si="21">H56</f>
        <v/>
      </c>
      <c r="I89" s="517" t="str">
        <f t="shared" si="21"/>
        <v/>
      </c>
      <c r="J89" s="518" t="str">
        <f t="shared" si="21"/>
        <v/>
      </c>
      <c r="K89" s="491">
        <f>B81*numberDwellingsUK/1000</f>
        <v>3827.131753</v>
      </c>
      <c r="L89" s="517">
        <f>C81*numberDwellingsUK/1000</f>
        <v>4252.368614</v>
      </c>
      <c r="M89" s="518">
        <f>D81*numberDwellingsUK/1000</f>
        <v>4677.605476</v>
      </c>
      <c r="N89" s="491">
        <f>E81*numberDwellingsUK/1000</f>
        <v>217.406216</v>
      </c>
      <c r="O89" s="517">
        <f>F81*numberDwellingsUK/1000</f>
        <v>271.75777</v>
      </c>
      <c r="P89" s="518">
        <f>G81*numberDwellingsUK/1000</f>
        <v>298.933547</v>
      </c>
      <c r="Q89" s="491">
        <f>H69*numberDwellingsUK/1000</f>
        <v>0</v>
      </c>
      <c r="R89" s="517">
        <f>I69*numberDwellingsUK/1000</f>
        <v>0</v>
      </c>
      <c r="S89" s="518">
        <f>J69*numberDwellingsUK/1000</f>
        <v>0</v>
      </c>
      <c r="T89" s="633" t="s">
        <v>262</v>
      </c>
    </row>
    <row r="90">
      <c r="A90" s="635" t="str">
        <f t="shared" ref="A90:G90" si="22">A70</f>
        <v>retrofit filled cavity</v>
      </c>
      <c r="B90" s="491">
        <f t="shared" si="22"/>
        <v>8.841300115</v>
      </c>
      <c r="C90" s="517">
        <f t="shared" si="22"/>
        <v>37.32993382</v>
      </c>
      <c r="D90" s="518">
        <f t="shared" si="22"/>
        <v>77.98026701</v>
      </c>
      <c r="E90" s="491">
        <f t="shared" si="22"/>
        <v>14.84977983</v>
      </c>
      <c r="F90" s="517">
        <f t="shared" si="22"/>
        <v>62.69907038</v>
      </c>
      <c r="G90" s="518">
        <f t="shared" si="22"/>
        <v>130.9750581</v>
      </c>
      <c r="H90" s="491" t="str">
        <f t="shared" ref="H90:J90" si="23">H57</f>
        <v/>
      </c>
      <c r="I90" s="517" t="str">
        <f t="shared" si="23"/>
        <v/>
      </c>
      <c r="J90" s="518" t="str">
        <f t="shared" si="23"/>
        <v/>
      </c>
      <c r="K90" s="491">
        <f>B82*numberDwellingsUK/1000</f>
        <v>8340.790487</v>
      </c>
      <c r="L90" s="517">
        <f>C82*numberDwellingsUK/1000</f>
        <v>10425.98811</v>
      </c>
      <c r="M90" s="518">
        <f>D82*numberDwellingsUK/1000</f>
        <v>11468.58692</v>
      </c>
      <c r="N90" s="491">
        <f>E82*numberDwellingsUK/1000</f>
        <v>533.038132</v>
      </c>
      <c r="O90" s="517">
        <f>F82*numberDwellingsUK/1000</f>
        <v>666.297665</v>
      </c>
      <c r="P90" s="518">
        <f>G82*numberDwellingsUK/1000</f>
        <v>732.9274315</v>
      </c>
      <c r="Q90" s="491">
        <f>H70*numberDwellingsUK/1000</f>
        <v>0</v>
      </c>
      <c r="R90" s="517">
        <f>I70*numberDwellingsUK/1000</f>
        <v>0</v>
      </c>
      <c r="S90" s="518">
        <f>J70*numberDwellingsUK/1000</f>
        <v>0</v>
      </c>
      <c r="T90" s="633" t="s">
        <v>262</v>
      </c>
    </row>
    <row r="91">
      <c r="A91" s="635" t="str">
        <f t="shared" ref="A91:G91" si="24">A71</f>
        <v>Solid or unfilled cavity</v>
      </c>
      <c r="B91" s="494">
        <f t="shared" si="24"/>
        <v>18.20689115</v>
      </c>
      <c r="C91" s="520">
        <f t="shared" si="24"/>
        <v>76.87354039</v>
      </c>
      <c r="D91" s="521">
        <f t="shared" si="24"/>
        <v>160.5847799</v>
      </c>
      <c r="E91" s="494">
        <f t="shared" si="24"/>
        <v>30.58015465</v>
      </c>
      <c r="F91" s="520">
        <f t="shared" si="24"/>
        <v>129.1162085</v>
      </c>
      <c r="G91" s="521">
        <f t="shared" si="24"/>
        <v>269.716964</v>
      </c>
      <c r="H91" s="494" t="str">
        <f t="shared" ref="H91:J91" si="25">H58</f>
        <v/>
      </c>
      <c r="I91" s="520" t="str">
        <f t="shared" si="25"/>
        <v/>
      </c>
      <c r="J91" s="521" t="str">
        <f t="shared" si="25"/>
        <v/>
      </c>
      <c r="K91" s="494">
        <f>B83*numberDwellingsUK/1000</f>
        <v>8750.657341</v>
      </c>
      <c r="L91" s="520">
        <f>C83*numberDwellingsUK/1000</f>
        <v>10938.32168</v>
      </c>
      <c r="M91" s="521">
        <f>D83*numberDwellingsUK/1000</f>
        <v>12032.15384</v>
      </c>
      <c r="N91" s="494">
        <f>E83*numberDwellingsUK/1000</f>
        <v>559.231652</v>
      </c>
      <c r="O91" s="520">
        <f>F83*numberDwellingsUK/1000</f>
        <v>699.039565</v>
      </c>
      <c r="P91" s="521">
        <f>G83*numberDwellingsUK/1000</f>
        <v>768.9435215</v>
      </c>
      <c r="Q91" s="494">
        <f>H71*numberDwellingsUK/1000</f>
        <v>0</v>
      </c>
      <c r="R91" s="520">
        <f>I71*numberDwellingsUK/1000</f>
        <v>0</v>
      </c>
      <c r="S91" s="521">
        <f>J71*numberDwellingsUK/1000</f>
        <v>0</v>
      </c>
      <c r="T91" s="372" t="s">
        <v>262</v>
      </c>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8">
    <mergeCell ref="I67:I68"/>
    <mergeCell ref="J67:J68"/>
    <mergeCell ref="M67:M68"/>
    <mergeCell ref="I73:I74"/>
    <mergeCell ref="J73:J74"/>
    <mergeCell ref="M73:M74"/>
    <mergeCell ref="B86:J86"/>
    <mergeCell ref="K86:S86"/>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1.0"/>
    <col customWidth="1" min="2" max="2" width="11.0"/>
    <col customWidth="1" min="3" max="8" width="10.44"/>
    <col customWidth="1" min="9" max="9" width="12.0"/>
    <col customWidth="1" min="10" max="10" width="14.44"/>
    <col customWidth="1" min="11" max="11" width="16.33"/>
    <col customWidth="1" min="12" max="12" width="12.0"/>
    <col customWidth="1" min="13" max="26" width="10.44"/>
  </cols>
  <sheetData>
    <row r="1">
      <c r="A1" s="90" t="s">
        <v>748</v>
      </c>
      <c r="B1" s="2"/>
      <c r="C1" s="2"/>
      <c r="D1" s="2"/>
    </row>
    <row r="2">
      <c r="A2" s="90" t="s">
        <v>749</v>
      </c>
      <c r="B2" s="2"/>
      <c r="C2" s="2"/>
      <c r="D2" s="2"/>
    </row>
    <row r="3">
      <c r="A3" s="425" t="s">
        <v>752</v>
      </c>
    </row>
    <row r="4">
      <c r="A4" s="425" t="s">
        <v>753</v>
      </c>
    </row>
    <row r="5">
      <c r="A5" s="425" t="s">
        <v>754</v>
      </c>
    </row>
    <row r="6">
      <c r="A6" s="425" t="s">
        <v>755</v>
      </c>
    </row>
    <row r="7">
      <c r="A7" s="425" t="s">
        <v>757</v>
      </c>
    </row>
    <row r="8">
      <c r="A8" s="425" t="s">
        <v>758</v>
      </c>
    </row>
    <row r="9">
      <c r="A9" s="425"/>
    </row>
    <row r="10">
      <c r="A10" s="425" t="s">
        <v>760</v>
      </c>
    </row>
    <row r="11">
      <c r="A11" s="957"/>
      <c r="B11" s="958"/>
      <c r="C11" s="959" t="s">
        <v>764</v>
      </c>
      <c r="D11" s="959" t="s">
        <v>765</v>
      </c>
      <c r="E11" s="959" t="s">
        <v>766</v>
      </c>
      <c r="F11" s="959" t="s">
        <v>767</v>
      </c>
      <c r="G11" s="959" t="s">
        <v>768</v>
      </c>
      <c r="H11" s="961" t="s">
        <v>770</v>
      </c>
      <c r="I11" s="425"/>
      <c r="J11" s="425"/>
      <c r="K11" s="425"/>
      <c r="L11" s="425"/>
      <c r="M11" s="425"/>
      <c r="N11" s="425"/>
      <c r="O11" s="425"/>
      <c r="P11" s="425"/>
      <c r="Q11" s="425"/>
      <c r="R11" s="425"/>
      <c r="S11" s="425"/>
      <c r="T11" s="425"/>
      <c r="U11" s="425"/>
      <c r="V11" s="425"/>
      <c r="W11" s="425"/>
      <c r="X11" s="425"/>
      <c r="Y11" s="425"/>
      <c r="Z11" s="425"/>
    </row>
    <row r="12">
      <c r="A12" s="963" t="s">
        <v>772</v>
      </c>
      <c r="B12" s="964" t="s">
        <v>30</v>
      </c>
      <c r="C12" s="965">
        <v>0.0</v>
      </c>
      <c r="D12" s="965">
        <v>0.005</v>
      </c>
      <c r="E12" s="965">
        <v>0.014</v>
      </c>
      <c r="F12" s="964"/>
      <c r="G12" s="964"/>
      <c r="H12" s="966" t="s">
        <v>64</v>
      </c>
      <c r="I12" s="98" t="s">
        <v>774</v>
      </c>
    </row>
    <row r="13">
      <c r="A13" s="963" t="s">
        <v>772</v>
      </c>
      <c r="B13" s="964" t="s">
        <v>31</v>
      </c>
      <c r="C13" s="965">
        <v>0.0</v>
      </c>
      <c r="D13" s="965"/>
      <c r="E13" s="965">
        <v>0.011</v>
      </c>
      <c r="F13" s="964"/>
      <c r="G13" s="964"/>
      <c r="H13" s="966" t="s">
        <v>64</v>
      </c>
      <c r="I13" s="98" t="s">
        <v>776</v>
      </c>
    </row>
    <row r="14">
      <c r="A14" s="963" t="s">
        <v>777</v>
      </c>
      <c r="B14" s="964" t="s">
        <v>30</v>
      </c>
      <c r="C14" s="965">
        <v>0.1</v>
      </c>
      <c r="D14" s="965">
        <v>0.12</v>
      </c>
      <c r="E14" s="965" t="s">
        <v>262</v>
      </c>
      <c r="F14" s="964"/>
      <c r="G14" s="964"/>
      <c r="H14" s="966" t="s">
        <v>778</v>
      </c>
      <c r="I14" s="98" t="s">
        <v>779</v>
      </c>
    </row>
    <row r="15">
      <c r="A15" s="963" t="s">
        <v>780</v>
      </c>
      <c r="B15" s="964" t="s">
        <v>30</v>
      </c>
      <c r="C15" s="965">
        <v>0.04</v>
      </c>
      <c r="D15" s="965">
        <v>0.08</v>
      </c>
      <c r="E15" s="965">
        <v>0.05</v>
      </c>
      <c r="F15" s="964"/>
      <c r="G15" s="964"/>
      <c r="H15" s="966" t="s">
        <v>778</v>
      </c>
    </row>
    <row r="16">
      <c r="A16" s="963" t="s">
        <v>781</v>
      </c>
      <c r="B16" s="964" t="s">
        <v>30</v>
      </c>
      <c r="C16" s="965">
        <v>0.01</v>
      </c>
      <c r="D16" s="965">
        <v>0.02</v>
      </c>
      <c r="E16" s="965">
        <v>0.03</v>
      </c>
      <c r="F16" s="964"/>
      <c r="G16" s="964"/>
      <c r="H16" s="966" t="s">
        <v>782</v>
      </c>
      <c r="I16" s="98" t="s">
        <v>783</v>
      </c>
    </row>
    <row r="17">
      <c r="A17" s="234" t="s">
        <v>784</v>
      </c>
      <c r="B17" s="967" t="s">
        <v>30</v>
      </c>
      <c r="C17" s="968"/>
      <c r="D17" s="968"/>
      <c r="E17" s="968"/>
      <c r="F17" s="968" t="s">
        <v>785</v>
      </c>
      <c r="G17" s="968" t="s">
        <v>786</v>
      </c>
      <c r="H17" s="969" t="s">
        <v>787</v>
      </c>
    </row>
    <row r="18">
      <c r="A18" s="425"/>
    </row>
    <row r="19">
      <c r="A19" s="425"/>
    </row>
    <row r="20">
      <c r="A20" s="334" t="s">
        <v>789</v>
      </c>
      <c r="B20" s="430" t="s">
        <v>5</v>
      </c>
      <c r="C20" s="323" t="s">
        <v>6</v>
      </c>
      <c r="D20" s="324" t="s">
        <v>7</v>
      </c>
    </row>
    <row r="21" ht="20.25" customHeight="1">
      <c r="A21" s="415" t="s">
        <v>791</v>
      </c>
      <c r="B21" s="769">
        <v>0.03</v>
      </c>
      <c r="C21" s="770">
        <v>0.065</v>
      </c>
      <c r="D21" s="771">
        <v>0.1</v>
      </c>
      <c r="E21" s="98" t="s">
        <v>792</v>
      </c>
      <c r="F21" s="500"/>
    </row>
    <row r="22">
      <c r="A22" s="724" t="s">
        <v>793</v>
      </c>
      <c r="B22" s="769">
        <v>0.005</v>
      </c>
      <c r="C22" s="770">
        <v>0.05</v>
      </c>
      <c r="D22" s="771">
        <v>0.08</v>
      </c>
      <c r="E22" s="98" t="s">
        <v>794</v>
      </c>
    </row>
    <row r="23">
      <c r="A23" s="727" t="s">
        <v>795</v>
      </c>
      <c r="B23" s="773">
        <v>0.014</v>
      </c>
      <c r="C23" s="774">
        <v>0.03</v>
      </c>
      <c r="D23" s="775">
        <v>0.05</v>
      </c>
      <c r="E23" s="98" t="s">
        <v>794</v>
      </c>
    </row>
    <row r="24">
      <c r="A24" s="425"/>
    </row>
    <row r="25">
      <c r="A25" s="334" t="s">
        <v>174</v>
      </c>
      <c r="B25" s="334" t="s">
        <v>114</v>
      </c>
      <c r="C25" s="4"/>
      <c r="D25" s="5"/>
      <c r="E25" s="974" t="s">
        <v>175</v>
      </c>
      <c r="F25" s="4"/>
      <c r="G25" s="5"/>
      <c r="H25" s="92"/>
    </row>
    <row r="26">
      <c r="A26" s="728"/>
      <c r="B26" s="337" t="s">
        <v>5</v>
      </c>
      <c r="C26" s="338" t="s">
        <v>6</v>
      </c>
      <c r="D26" s="339" t="s">
        <v>7</v>
      </c>
      <c r="E26" s="565" t="s">
        <v>5</v>
      </c>
      <c r="F26" s="338" t="s">
        <v>6</v>
      </c>
      <c r="G26" s="339" t="s">
        <v>7</v>
      </c>
    </row>
    <row r="27">
      <c r="A27" s="976" t="s">
        <v>797</v>
      </c>
      <c r="B27" s="599">
        <f>B$21*MeanDomesticGasBill*gasBillPropSpace</f>
        <v>221.9891708</v>
      </c>
      <c r="C27" s="599">
        <f>C$21*MeanDomesticGasBill*gasBillPropSpace</f>
        <v>480.9765366</v>
      </c>
      <c r="D27" s="600">
        <f>D$21*MeanDomesticGasBill*gasBillPropSpace</f>
        <v>739.9639025</v>
      </c>
      <c r="E27" s="980">
        <f>ROUND(B27*gasPricePerkWh/100,0)</f>
        <v>18</v>
      </c>
      <c r="F27" s="982">
        <f>ROUND(C27*gasPricePerkWh/100,0)</f>
        <v>38</v>
      </c>
      <c r="G27" s="983">
        <f>ROUND(D27*gasPricePerkWh/100,0)</f>
        <v>59</v>
      </c>
      <c r="H27" s="432"/>
    </row>
    <row r="28">
      <c r="A28" s="744" t="s">
        <v>802</v>
      </c>
      <c r="B28" s="115">
        <f>B$21*MeanDomesticOilBill*oilBillPropSpace</f>
        <v>400.8813783</v>
      </c>
      <c r="C28" s="115">
        <f>C$21*MeanDomesticOilBill*oilBillPropSpace</f>
        <v>868.5763196</v>
      </c>
      <c r="D28" s="117">
        <f>D$21*MeanDomesticOilBill*oilBillPropSpace</f>
        <v>1336.271261</v>
      </c>
      <c r="E28" s="731">
        <f>ROUND(B28*oilPricePerkWh/100,0)</f>
        <v>39</v>
      </c>
      <c r="F28" s="732">
        <f>ROUND(C28*oilPricePerkWh/100,0)</f>
        <v>84</v>
      </c>
      <c r="G28" s="733">
        <f>ROUND(D28*oilPricePerkWh/100,0)</f>
        <v>129</v>
      </c>
      <c r="H28" s="432"/>
    </row>
    <row r="29">
      <c r="A29" s="988" t="s">
        <v>804</v>
      </c>
      <c r="B29" s="115">
        <f>B$22*MeanDomesticGasBill*gasBillPropSpace</f>
        <v>36.99819513</v>
      </c>
      <c r="C29" s="115">
        <f>C$22*MeanDomesticGasBill*gasBillPropSpace</f>
        <v>369.9819513</v>
      </c>
      <c r="D29" s="117">
        <f>D$22*MeanDomesticGasBill*gasBillPropSpace</f>
        <v>591.971122</v>
      </c>
      <c r="E29" s="731">
        <f>ROUND(B29*gasPricePerkWh/100,0)</f>
        <v>3</v>
      </c>
      <c r="F29" s="732">
        <f>ROUND(C29*gasPricePerkWh/100,0)</f>
        <v>29</v>
      </c>
      <c r="G29" s="733">
        <f>ROUND(D29*gasPricePerkWh/100,0)</f>
        <v>47</v>
      </c>
      <c r="H29" s="991"/>
      <c r="I29" s="992"/>
      <c r="J29" s="992"/>
      <c r="K29" s="992"/>
      <c r="L29" s="992"/>
      <c r="M29" s="992"/>
      <c r="N29" s="992"/>
      <c r="O29" s="992"/>
      <c r="P29" s="992"/>
      <c r="Q29" s="992"/>
      <c r="R29" s="992"/>
      <c r="S29" s="992"/>
      <c r="T29" s="992"/>
    </row>
    <row r="30">
      <c r="A30" s="988" t="s">
        <v>806</v>
      </c>
      <c r="B30" s="115">
        <f>B$22*MeanDomesticOilBill*oilBillPropSpace</f>
        <v>66.81356305</v>
      </c>
      <c r="C30" s="115">
        <f>C$22*MeanDomesticOilBill*oilBillPropSpace</f>
        <v>668.1356305</v>
      </c>
      <c r="D30" s="117">
        <f>D$22*MeanDomesticOilBill*oilBillPropSpace</f>
        <v>1069.017009</v>
      </c>
      <c r="E30" s="731">
        <f>ROUND(B30*oilPricePerkWh/100,0)</f>
        <v>6</v>
      </c>
      <c r="F30" s="732">
        <f>ROUND(C30*oilPricePerkWh/100,0)</f>
        <v>65</v>
      </c>
      <c r="G30" s="733">
        <f>ROUND(D30*oilPricePerkWh/100,0)</f>
        <v>103</v>
      </c>
      <c r="H30" s="432"/>
    </row>
    <row r="31">
      <c r="A31" s="988" t="s">
        <v>807</v>
      </c>
      <c r="B31" s="115">
        <f>B23*MeanDomesticGasBill*gasBillPropSpace</f>
        <v>103.5949464</v>
      </c>
      <c r="C31" s="115">
        <f>C23*MeanDomesticGasBill*gasBillPropSpace</f>
        <v>221.9891708</v>
      </c>
      <c r="D31" s="117">
        <f>D23*MeanDomesticGasBill*gasBillPropSpace</f>
        <v>369.9819513</v>
      </c>
      <c r="E31" s="731">
        <f>ROUND(B31*oilPricePerkWh/100,0)</f>
        <v>10</v>
      </c>
      <c r="F31" s="732">
        <f>ROUND(C31*oilPricePerkWh/100,0)</f>
        <v>21</v>
      </c>
      <c r="G31" s="733">
        <f>ROUND(D31*oilPricePerkWh/100,0)</f>
        <v>36</v>
      </c>
      <c r="H31" s="432"/>
    </row>
    <row r="32">
      <c r="A32" s="997" t="s">
        <v>808</v>
      </c>
      <c r="B32" s="405">
        <f>B23*MeanDomesticOilBill*oilBillPropSpace</f>
        <v>187.0779765</v>
      </c>
      <c r="C32" s="405">
        <f>C23*MeanDomesticOilBill*oilBillPropSpace</f>
        <v>400.8813783</v>
      </c>
      <c r="D32" s="405">
        <f>D23*MeanDomesticOilBill*oilBillPropSpace</f>
        <v>668.1356305</v>
      </c>
      <c r="E32" s="735">
        <f>ROUND(B32*oilPricePerkWh/100,0)</f>
        <v>18</v>
      </c>
      <c r="F32" s="736">
        <f>ROUND(C32*oilPricePerkWh/100,0)</f>
        <v>39</v>
      </c>
      <c r="G32" s="737">
        <f>ROUND(D32*oilPricePerkWh/100,0)</f>
        <v>65</v>
      </c>
      <c r="H32" s="432"/>
    </row>
    <row r="33">
      <c r="A33" s="425"/>
      <c r="F33" s="999"/>
      <c r="G33" s="999"/>
      <c r="H33" s="999"/>
      <c r="I33" s="432"/>
    </row>
    <row r="34">
      <c r="A34" s="498" t="s">
        <v>215</v>
      </c>
      <c r="B34" s="26"/>
      <c r="F34" s="999"/>
      <c r="G34" s="999"/>
      <c r="H34" s="999"/>
      <c r="I34" s="432"/>
    </row>
    <row r="35">
      <c r="A35" s="1000"/>
      <c r="B35" s="430" t="s">
        <v>5</v>
      </c>
      <c r="C35" s="323" t="s">
        <v>6</v>
      </c>
      <c r="D35" s="324" t="s">
        <v>7</v>
      </c>
    </row>
    <row r="36">
      <c r="A36" s="724" t="s">
        <v>809</v>
      </c>
      <c r="B36" s="685">
        <v>0.6</v>
      </c>
      <c r="C36" s="155">
        <v>0.75</v>
      </c>
      <c r="D36" s="686">
        <v>0.85</v>
      </c>
      <c r="E36" s="98" t="s">
        <v>810</v>
      </c>
    </row>
    <row r="37">
      <c r="A37" s="724" t="s">
        <v>811</v>
      </c>
      <c r="B37" s="685">
        <v>0.01</v>
      </c>
      <c r="C37" s="155">
        <v>0.03</v>
      </c>
      <c r="D37" s="686">
        <v>0.05</v>
      </c>
      <c r="E37" s="98" t="s">
        <v>233</v>
      </c>
    </row>
    <row r="38">
      <c r="A38" s="724" t="s">
        <v>812</v>
      </c>
      <c r="B38" s="1003">
        <f t="shared" ref="B38:D38" si="1">B36-B37</f>
        <v>0.59</v>
      </c>
      <c r="C38" s="722">
        <f t="shared" si="1"/>
        <v>0.72</v>
      </c>
      <c r="D38" s="1004">
        <f t="shared" si="1"/>
        <v>0.8</v>
      </c>
    </row>
    <row r="39">
      <c r="A39" s="724"/>
      <c r="B39" s="1003"/>
      <c r="C39" s="722"/>
      <c r="D39" s="1004"/>
    </row>
    <row r="40">
      <c r="A40" s="1006" t="s">
        <v>813</v>
      </c>
      <c r="B40" s="1007">
        <f>(B38)*(propHomesGasHeating)</f>
        <v>0.4930816545</v>
      </c>
      <c r="C40" s="1008">
        <f>(C38)*(propHomesGasHeating)</f>
        <v>0.6017267648</v>
      </c>
      <c r="D40" s="402">
        <f>(D38)*(propHomesGasHeating)</f>
        <v>0.6685852942</v>
      </c>
      <c r="E40" s="500"/>
    </row>
    <row r="41">
      <c r="A41" s="425"/>
    </row>
    <row r="42">
      <c r="A42" s="425"/>
    </row>
    <row r="43">
      <c r="A43" s="334" t="s">
        <v>16</v>
      </c>
      <c r="B43" s="465" t="s">
        <v>11</v>
      </c>
      <c r="C43" s="9"/>
      <c r="D43" s="9"/>
      <c r="E43" s="9"/>
      <c r="F43" s="9"/>
      <c r="G43" s="9"/>
      <c r="H43" s="9"/>
      <c r="I43" s="9"/>
      <c r="J43" s="10"/>
      <c r="K43" s="465" t="s">
        <v>256</v>
      </c>
      <c r="L43" s="9"/>
      <c r="M43" s="9"/>
      <c r="N43" s="9"/>
      <c r="O43" s="9"/>
      <c r="P43" s="9"/>
      <c r="Q43" s="9"/>
      <c r="R43" s="9"/>
      <c r="S43" s="10"/>
      <c r="T43" s="508" t="s">
        <v>257</v>
      </c>
    </row>
    <row r="44">
      <c r="A44" s="415"/>
      <c r="B44" s="747" t="s">
        <v>30</v>
      </c>
      <c r="C44" s="667"/>
      <c r="D44" s="667"/>
      <c r="E44" s="667" t="s">
        <v>31</v>
      </c>
      <c r="F44" s="667"/>
      <c r="G44" s="667"/>
      <c r="H44" s="748" t="s">
        <v>825</v>
      </c>
      <c r="I44" s="748"/>
      <c r="J44" s="749"/>
      <c r="K44" s="747" t="s">
        <v>30</v>
      </c>
      <c r="L44" s="667"/>
      <c r="M44" s="667"/>
      <c r="N44" s="667" t="s">
        <v>31</v>
      </c>
      <c r="O44" s="667"/>
      <c r="P44" s="667"/>
      <c r="Q44" s="748" t="s">
        <v>32</v>
      </c>
      <c r="R44" s="748"/>
      <c r="S44" s="749"/>
      <c r="T44" s="730"/>
    </row>
    <row r="45">
      <c r="A45" s="1017"/>
      <c r="B45" s="747" t="s">
        <v>5</v>
      </c>
      <c r="C45" s="69" t="s">
        <v>6</v>
      </c>
      <c r="D45" s="69" t="s">
        <v>7</v>
      </c>
      <c r="E45" s="667" t="s">
        <v>5</v>
      </c>
      <c r="F45" s="69" t="s">
        <v>6</v>
      </c>
      <c r="G45" s="69" t="s">
        <v>7</v>
      </c>
      <c r="H45" s="667" t="s">
        <v>5</v>
      </c>
      <c r="I45" s="69" t="s">
        <v>6</v>
      </c>
      <c r="J45" s="70" t="s">
        <v>7</v>
      </c>
      <c r="K45" s="747" t="s">
        <v>5</v>
      </c>
      <c r="L45" s="69" t="s">
        <v>6</v>
      </c>
      <c r="M45" s="69" t="s">
        <v>7</v>
      </c>
      <c r="N45" s="667" t="s">
        <v>5</v>
      </c>
      <c r="O45" s="69" t="s">
        <v>6</v>
      </c>
      <c r="P45" s="69" t="s">
        <v>7</v>
      </c>
      <c r="Q45" s="667" t="s">
        <v>5</v>
      </c>
      <c r="R45" s="69" t="s">
        <v>6</v>
      </c>
      <c r="S45" s="70" t="s">
        <v>7</v>
      </c>
      <c r="T45" s="730"/>
    </row>
    <row r="46">
      <c r="A46" s="724" t="s">
        <v>555</v>
      </c>
      <c r="B46" s="1022">
        <f t="shared" ref="B46:D46" si="2">B29</f>
        <v>36.99819513</v>
      </c>
      <c r="C46" s="1022">
        <f t="shared" si="2"/>
        <v>369.9819513</v>
      </c>
      <c r="D46" s="1022">
        <f t="shared" si="2"/>
        <v>591.971122</v>
      </c>
      <c r="E46" s="524">
        <f t="shared" ref="E46:G46" si="3">B30</f>
        <v>66.81356305</v>
      </c>
      <c r="F46" s="524">
        <f t="shared" si="3"/>
        <v>668.1356305</v>
      </c>
      <c r="G46" s="524">
        <f t="shared" si="3"/>
        <v>1069.017009</v>
      </c>
      <c r="H46" s="524">
        <v>0.0</v>
      </c>
      <c r="I46" s="524">
        <v>0.0</v>
      </c>
      <c r="J46" s="1024">
        <v>0.0</v>
      </c>
      <c r="K46" s="1022">
        <f>B40*numberDwellingsUK/1000</f>
        <v>15113.84026</v>
      </c>
      <c r="L46" s="524">
        <f>C40*numberDwellingsUK/1000</f>
        <v>18444.00845</v>
      </c>
      <c r="M46" s="524">
        <f>D40*numberDwellingsUK/1000</f>
        <v>20493.34272</v>
      </c>
      <c r="N46" s="524">
        <v>0.0</v>
      </c>
      <c r="O46" s="524">
        <v>0.0</v>
      </c>
      <c r="P46" s="524">
        <v>0.0</v>
      </c>
      <c r="Q46" s="524">
        <v>0.0</v>
      </c>
      <c r="R46" s="524">
        <v>0.0</v>
      </c>
      <c r="S46" s="1024">
        <v>0.0</v>
      </c>
      <c r="T46" s="163" t="s">
        <v>262</v>
      </c>
    </row>
    <row r="47">
      <c r="A47" s="724" t="s">
        <v>556</v>
      </c>
      <c r="B47" s="1022">
        <f t="shared" ref="B47:D47" si="4">B31</f>
        <v>103.5949464</v>
      </c>
      <c r="C47" s="524">
        <f t="shared" si="4"/>
        <v>221.9891708</v>
      </c>
      <c r="D47" s="524">
        <f t="shared" si="4"/>
        <v>369.9819513</v>
      </c>
      <c r="E47" s="524">
        <f t="shared" ref="E47:G47" si="5">B32</f>
        <v>187.0779765</v>
      </c>
      <c r="F47" s="524">
        <f t="shared" si="5"/>
        <v>400.8813783</v>
      </c>
      <c r="G47" s="524">
        <f t="shared" si="5"/>
        <v>668.1356305</v>
      </c>
      <c r="H47" s="524">
        <v>0.0</v>
      </c>
      <c r="I47" s="524">
        <v>0.0</v>
      </c>
      <c r="J47" s="1024">
        <v>0.0</v>
      </c>
      <c r="K47" s="1022">
        <f t="shared" ref="K47:M47" si="6">K46</f>
        <v>15113.84026</v>
      </c>
      <c r="L47" s="524">
        <f t="shared" si="6"/>
        <v>18444.00845</v>
      </c>
      <c r="M47" s="524">
        <f t="shared" si="6"/>
        <v>20493.34272</v>
      </c>
      <c r="N47" s="524">
        <v>0.0</v>
      </c>
      <c r="O47" s="524">
        <v>0.0</v>
      </c>
      <c r="P47" s="524">
        <v>0.0</v>
      </c>
      <c r="Q47" s="524">
        <v>0.0</v>
      </c>
      <c r="R47" s="524">
        <v>0.0</v>
      </c>
      <c r="S47" s="1024">
        <v>0.0</v>
      </c>
      <c r="T47" s="163" t="s">
        <v>262</v>
      </c>
    </row>
    <row r="48">
      <c r="A48" s="1030" t="s">
        <v>260</v>
      </c>
      <c r="B48" s="1031">
        <f t="shared" ref="B48:D48" si="7">B27</f>
        <v>221.9891708</v>
      </c>
      <c r="C48" s="1033">
        <f t="shared" si="7"/>
        <v>480.9765366</v>
      </c>
      <c r="D48" s="1033">
        <f t="shared" si="7"/>
        <v>739.9639025</v>
      </c>
      <c r="E48" s="1033">
        <f t="shared" ref="E48:G48" si="8">B28</f>
        <v>400.8813783</v>
      </c>
      <c r="F48" s="1033">
        <f t="shared" si="8"/>
        <v>868.5763196</v>
      </c>
      <c r="G48" s="1033">
        <f t="shared" si="8"/>
        <v>1336.271261</v>
      </c>
      <c r="H48" s="1033">
        <v>0.0</v>
      </c>
      <c r="I48" s="1033">
        <v>0.0</v>
      </c>
      <c r="J48" s="1034">
        <v>0.0</v>
      </c>
      <c r="K48" s="1031">
        <f t="shared" ref="K48:M48" si="9">K47</f>
        <v>15113.84026</v>
      </c>
      <c r="L48" s="1033">
        <f t="shared" si="9"/>
        <v>18444.00845</v>
      </c>
      <c r="M48" s="1033">
        <f t="shared" si="9"/>
        <v>20493.34272</v>
      </c>
      <c r="N48" s="1033">
        <v>0.0</v>
      </c>
      <c r="O48" s="1033">
        <v>0.0</v>
      </c>
      <c r="P48" s="1033">
        <v>0.0</v>
      </c>
      <c r="Q48" s="1033">
        <v>0.0</v>
      </c>
      <c r="R48" s="1033">
        <v>0.0</v>
      </c>
      <c r="S48" s="1034">
        <v>0.0</v>
      </c>
      <c r="T48" s="1035" t="s">
        <v>133</v>
      </c>
    </row>
    <row r="49">
      <c r="A49" s="425"/>
    </row>
    <row r="50">
      <c r="A50" s="425"/>
      <c r="H50" s="98" t="s">
        <v>834</v>
      </c>
    </row>
    <row r="51">
      <c r="A51" s="425"/>
      <c r="H51" s="98" t="s">
        <v>835</v>
      </c>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3">
    <mergeCell ref="H25:H26"/>
    <mergeCell ref="B43:J43"/>
    <mergeCell ref="K43:S43"/>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51.0"/>
    <col customWidth="1" min="2" max="2" width="24.44"/>
    <col customWidth="1" min="3" max="3" width="10.44"/>
    <col customWidth="1" min="4" max="4" width="20.33"/>
    <col customWidth="1" min="5" max="19" width="10.44"/>
    <col customWidth="1" min="20" max="20" width="20.0"/>
    <col customWidth="1" min="21" max="26" width="10.44"/>
  </cols>
  <sheetData>
    <row r="1">
      <c r="A1" s="90" t="s">
        <v>814</v>
      </c>
      <c r="B1" s="2"/>
      <c r="C1" s="2"/>
      <c r="D1" s="2"/>
      <c r="E1" s="2"/>
    </row>
    <row r="2">
      <c r="A2" s="90" t="s">
        <v>815</v>
      </c>
      <c r="B2" s="2"/>
      <c r="C2" s="2"/>
      <c r="D2" s="2"/>
      <c r="E2" s="2"/>
    </row>
    <row r="3">
      <c r="A3" s="425"/>
    </row>
    <row r="4">
      <c r="A4" s="425" t="s">
        <v>816</v>
      </c>
    </row>
    <row r="5" ht="143.25" customHeight="1">
      <c r="A5" s="425" t="s">
        <v>817</v>
      </c>
    </row>
    <row r="6">
      <c r="A6" s="425" t="s">
        <v>818</v>
      </c>
    </row>
    <row r="7" ht="108.75" customHeight="1">
      <c r="A7" s="425" t="s">
        <v>819</v>
      </c>
    </row>
    <row r="8">
      <c r="A8" s="425" t="s">
        <v>820</v>
      </c>
    </row>
    <row r="9">
      <c r="A9" s="425"/>
    </row>
    <row r="10">
      <c r="A10" s="425"/>
    </row>
    <row r="11">
      <c r="A11" s="1009" t="s">
        <v>822</v>
      </c>
      <c r="B11" s="1010" t="s">
        <v>823</v>
      </c>
      <c r="C11" s="1010" t="s">
        <v>824</v>
      </c>
      <c r="D11" s="1010" t="s">
        <v>5</v>
      </c>
      <c r="E11" s="1011" t="s">
        <v>7</v>
      </c>
    </row>
    <row r="12">
      <c r="A12" s="1012" t="s">
        <v>118</v>
      </c>
      <c r="B12" s="1013" t="s">
        <v>30</v>
      </c>
      <c r="C12" s="1014">
        <v>0.067</v>
      </c>
      <c r="D12" s="1014">
        <v>0.026</v>
      </c>
      <c r="E12" s="1015">
        <v>0.092</v>
      </c>
    </row>
    <row r="13">
      <c r="A13" s="724" t="s">
        <v>118</v>
      </c>
      <c r="B13" s="1016" t="s">
        <v>31</v>
      </c>
      <c r="C13" s="1018">
        <v>0.066</v>
      </c>
      <c r="D13" s="1018">
        <v>0.025</v>
      </c>
      <c r="E13" s="1019">
        <v>0.089</v>
      </c>
    </row>
    <row r="14">
      <c r="A14" s="724" t="s">
        <v>826</v>
      </c>
      <c r="B14" s="1016" t="s">
        <v>30</v>
      </c>
      <c r="C14" s="1020">
        <v>0.18</v>
      </c>
      <c r="D14" s="1016"/>
      <c r="E14" s="1021"/>
      <c r="F14" s="98" t="s">
        <v>827</v>
      </c>
    </row>
    <row r="15">
      <c r="A15" s="727" t="s">
        <v>828</v>
      </c>
      <c r="B15" s="740"/>
      <c r="C15" s="1023">
        <f>C14*gasBillPropSpace</f>
        <v>0.1348634308</v>
      </c>
      <c r="D15" s="740"/>
      <c r="E15" s="734"/>
    </row>
    <row r="16">
      <c r="A16" s="425"/>
      <c r="C16" s="245"/>
      <c r="D16" s="98"/>
    </row>
    <row r="17">
      <c r="A17" s="1025" t="s">
        <v>789</v>
      </c>
      <c r="B17" s="1026"/>
      <c r="C17" s="1010" t="s">
        <v>5</v>
      </c>
      <c r="D17" s="1010" t="s">
        <v>6</v>
      </c>
      <c r="E17" s="1011" t="s">
        <v>7</v>
      </c>
    </row>
    <row r="18" ht="50.25" customHeight="1">
      <c r="A18" s="415" t="s">
        <v>829</v>
      </c>
      <c r="B18" s="326"/>
      <c r="C18" s="1027">
        <v>0.07</v>
      </c>
      <c r="D18" s="1028">
        <f t="shared" ref="D18:D19" si="1">AVERAGE(E18,C18)</f>
        <v>0.1024317154</v>
      </c>
      <c r="E18" s="1029">
        <f>C15</f>
        <v>0.1348634308</v>
      </c>
      <c r="F18" s="98" t="s">
        <v>831</v>
      </c>
      <c r="G18" s="500"/>
    </row>
    <row r="19">
      <c r="A19" s="727" t="s">
        <v>832</v>
      </c>
      <c r="B19" s="1032"/>
      <c r="C19" s="813">
        <v>0.0</v>
      </c>
      <c r="D19" s="814">
        <f t="shared" si="1"/>
        <v>0.05121585769</v>
      </c>
      <c r="E19" s="815">
        <f>D18</f>
        <v>0.1024317154</v>
      </c>
      <c r="F19" s="98" t="s">
        <v>833</v>
      </c>
    </row>
    <row r="20">
      <c r="A20" s="425"/>
    </row>
    <row r="21">
      <c r="A21" s="334" t="s">
        <v>174</v>
      </c>
      <c r="B21" s="4"/>
      <c r="C21" s="334" t="s">
        <v>114</v>
      </c>
      <c r="D21" s="4"/>
      <c r="E21" s="5"/>
      <c r="F21" s="974" t="s">
        <v>175</v>
      </c>
      <c r="G21" s="4"/>
      <c r="H21" s="5"/>
    </row>
    <row r="22">
      <c r="A22" s="728"/>
      <c r="B22" s="2"/>
      <c r="C22" s="1036" t="s">
        <v>5</v>
      </c>
      <c r="D22" s="1037" t="s">
        <v>6</v>
      </c>
      <c r="E22" s="1038" t="s">
        <v>7</v>
      </c>
      <c r="F22" s="565" t="s">
        <v>5</v>
      </c>
      <c r="G22" s="338" t="s">
        <v>6</v>
      </c>
      <c r="H22" s="339" t="s">
        <v>7</v>
      </c>
    </row>
    <row r="23">
      <c r="A23" s="413" t="s">
        <v>836</v>
      </c>
      <c r="B23" s="1039" t="s">
        <v>30</v>
      </c>
      <c r="C23" s="1040">
        <f>C18*MeanDomesticGasBill</f>
        <v>691.332344</v>
      </c>
      <c r="D23" s="1041">
        <f>D18*MeanDomesticGasBill</f>
        <v>1011.633684</v>
      </c>
      <c r="E23" s="1042">
        <f>E18*MeanDomesticGasBill</f>
        <v>1331.935025</v>
      </c>
      <c r="F23" s="982">
        <f>ROUND(C23*gasPricePerkWh/100,0)</f>
        <v>55</v>
      </c>
      <c r="G23" s="982">
        <f>ROUND(D23*gasPricePerkWh/100,0)</f>
        <v>81</v>
      </c>
      <c r="H23" s="983">
        <f>ROUND(E23*gasPricePerkWh/100,0)</f>
        <v>106</v>
      </c>
      <c r="J23" s="794">
        <f>gasPricePerkWh*10</f>
        <v>79.7</v>
      </c>
      <c r="K23" s="794">
        <f>elecPricePerkWh*10</f>
        <v>263.2</v>
      </c>
    </row>
    <row r="24">
      <c r="A24" s="727"/>
      <c r="B24" s="740" t="s">
        <v>31</v>
      </c>
      <c r="C24" s="754">
        <f>C18*MeanDomesticOilBill</f>
        <v>1161.1565</v>
      </c>
      <c r="D24" s="756">
        <f>D18*MeanDomesticOilBill</f>
        <v>1699.132173</v>
      </c>
      <c r="E24" s="757">
        <f>E18*MeanDomesticOilBill</f>
        <v>2237.107846</v>
      </c>
      <c r="F24" s="736">
        <f>ROUND(C24*oilPriceP/100,0)</f>
        <v>112</v>
      </c>
      <c r="G24" s="736">
        <f>ROUND(D24*oilPriceP/100,0)</f>
        <v>164</v>
      </c>
      <c r="H24" s="737">
        <f>ROUND(E24*oilPriceP/100,0)</f>
        <v>216</v>
      </c>
    </row>
    <row r="25">
      <c r="A25" s="724" t="s">
        <v>837</v>
      </c>
      <c r="B25" s="73" t="s">
        <v>30</v>
      </c>
      <c r="C25" s="891">
        <f>C19*MeanDomesticGasBill</f>
        <v>0</v>
      </c>
      <c r="D25" s="893">
        <f>D19*MeanDomesticGasBill</f>
        <v>505.8168421</v>
      </c>
      <c r="E25" s="894">
        <f>E19*MeanDomesticGasBill</f>
        <v>1011.633684</v>
      </c>
      <c r="F25" s="732">
        <f t="shared" ref="F25:H25" si="2">F23/2</f>
        <v>27.5</v>
      </c>
      <c r="G25" s="732">
        <f t="shared" si="2"/>
        <v>40.5</v>
      </c>
      <c r="H25" s="733">
        <f t="shared" si="2"/>
        <v>53</v>
      </c>
    </row>
    <row r="26">
      <c r="A26" s="727"/>
      <c r="B26" s="740" t="s">
        <v>31</v>
      </c>
      <c r="C26" s="754">
        <f>C19*MeanDomesticOilBill</f>
        <v>0</v>
      </c>
      <c r="D26" s="756">
        <f>D19*MeanDomesticOilBill</f>
        <v>849.5660865</v>
      </c>
      <c r="E26" s="757">
        <f>E19*MeanDomesticOilBill</f>
        <v>1699.132173</v>
      </c>
      <c r="F26" s="736">
        <f t="shared" ref="F26:H26" si="3">F24/2</f>
        <v>56</v>
      </c>
      <c r="G26" s="736">
        <f t="shared" si="3"/>
        <v>82</v>
      </c>
      <c r="H26" s="737">
        <f t="shared" si="3"/>
        <v>108</v>
      </c>
    </row>
    <row r="27">
      <c r="A27" s="425"/>
    </row>
    <row r="28">
      <c r="A28" s="498" t="s">
        <v>215</v>
      </c>
      <c r="B28" s="26"/>
    </row>
    <row r="29">
      <c r="A29" s="1000"/>
      <c r="B29" s="4"/>
      <c r="C29" s="323" t="s">
        <v>5</v>
      </c>
      <c r="D29" s="323" t="s">
        <v>6</v>
      </c>
      <c r="E29" s="324" t="s">
        <v>7</v>
      </c>
    </row>
    <row r="30">
      <c r="A30" s="724" t="s">
        <v>838</v>
      </c>
      <c r="B30" s="73" t="s">
        <v>839</v>
      </c>
      <c r="C30" s="1043">
        <f>D30-0.02</f>
        <v>0.84</v>
      </c>
      <c r="D30" s="1044">
        <v>0.86</v>
      </c>
      <c r="E30" s="1045">
        <f>D30+0.02</f>
        <v>0.88</v>
      </c>
      <c r="F30" s="98" t="s">
        <v>840</v>
      </c>
    </row>
    <row r="31">
      <c r="A31" s="724" t="s">
        <v>841</v>
      </c>
      <c r="B31" s="73" t="s">
        <v>30</v>
      </c>
      <c r="C31" s="844">
        <f>propHomesGasHeating*(1-C30)</f>
        <v>0.1337170588</v>
      </c>
      <c r="D31" s="845">
        <f>propHomesGasHeating*(1-D30)</f>
        <v>0.1170024265</v>
      </c>
      <c r="E31" s="471">
        <f>propHomesGasHeating*(1-E30)</f>
        <v>0.1002877941</v>
      </c>
      <c r="F31" s="98" t="s">
        <v>842</v>
      </c>
    </row>
    <row r="32">
      <c r="A32" s="724" t="s">
        <v>841</v>
      </c>
      <c r="B32" s="73" t="s">
        <v>31</v>
      </c>
      <c r="C32" s="844">
        <f>propHomesOilHeating*(1-C30)</f>
        <v>0.008545507931</v>
      </c>
      <c r="D32" s="845">
        <f>propHomesOilHeating*(1-D30)</f>
        <v>0.00747731944</v>
      </c>
      <c r="E32" s="471">
        <f>propHomesOilHeating*(1-E30)</f>
        <v>0.006409130948</v>
      </c>
    </row>
    <row r="33">
      <c r="A33" s="724" t="s">
        <v>843</v>
      </c>
      <c r="B33" s="73" t="s">
        <v>30</v>
      </c>
      <c r="C33" s="844">
        <f>propHomesGasHeating*C30</f>
        <v>0.7020145589</v>
      </c>
      <c r="D33" s="845">
        <f>propHomesGasHeating*D30</f>
        <v>0.7187291912</v>
      </c>
      <c r="E33" s="471">
        <f>propHomesGasHeating*E30</f>
        <v>0.7354438236</v>
      </c>
    </row>
    <row r="34">
      <c r="A34" s="727" t="s">
        <v>843</v>
      </c>
      <c r="B34" s="740" t="s">
        <v>31</v>
      </c>
      <c r="C34" s="1046">
        <f>propHomesOilHeating*C30</f>
        <v>0.04486391664</v>
      </c>
      <c r="D34" s="1047">
        <f>propHomesOilHeating*D30</f>
        <v>0.04593210513</v>
      </c>
      <c r="E34" s="972">
        <f>propHomesOilHeating*E30</f>
        <v>0.04700029362</v>
      </c>
    </row>
    <row r="35">
      <c r="A35" s="425"/>
    </row>
    <row r="36">
      <c r="A36" s="116" t="s">
        <v>16</v>
      </c>
      <c r="B36" s="465" t="s">
        <v>11</v>
      </c>
      <c r="C36" s="9"/>
      <c r="D36" s="9"/>
      <c r="E36" s="9"/>
      <c r="F36" s="9"/>
      <c r="G36" s="9"/>
      <c r="H36" s="9"/>
      <c r="I36" s="9"/>
      <c r="J36" s="677"/>
      <c r="K36" s="465" t="s">
        <v>256</v>
      </c>
      <c r="L36" s="9"/>
      <c r="M36" s="9"/>
      <c r="N36" s="9"/>
      <c r="O36" s="9"/>
      <c r="P36" s="9"/>
      <c r="Q36" s="9"/>
      <c r="R36" s="9"/>
      <c r="S36" s="10"/>
      <c r="T36" s="508" t="s">
        <v>257</v>
      </c>
    </row>
    <row r="37">
      <c r="A37" s="326"/>
      <c r="B37" s="468" t="s">
        <v>30</v>
      </c>
      <c r="C37" s="811"/>
      <c r="D37" s="812"/>
      <c r="E37" s="468" t="s">
        <v>31</v>
      </c>
      <c r="F37" s="469"/>
      <c r="G37" s="470"/>
      <c r="H37" s="60" t="s">
        <v>32</v>
      </c>
      <c r="I37" s="57"/>
      <c r="J37" s="58"/>
      <c r="K37" s="468" t="s">
        <v>30</v>
      </c>
      <c r="L37" s="469"/>
      <c r="M37" s="469"/>
      <c r="N37" s="468" t="s">
        <v>31</v>
      </c>
      <c r="O37" s="469"/>
      <c r="P37" s="470"/>
      <c r="Q37" s="57" t="s">
        <v>32</v>
      </c>
      <c r="R37" s="57"/>
      <c r="S37" s="58"/>
      <c r="T37" s="730"/>
    </row>
    <row r="38">
      <c r="A38" s="473"/>
      <c r="B38" s="74" t="s">
        <v>5</v>
      </c>
      <c r="C38" s="69" t="s">
        <v>6</v>
      </c>
      <c r="D38" s="70" t="s">
        <v>7</v>
      </c>
      <c r="E38" s="74" t="s">
        <v>5</v>
      </c>
      <c r="F38" s="69" t="s">
        <v>6</v>
      </c>
      <c r="G38" s="70" t="s">
        <v>7</v>
      </c>
      <c r="H38" s="74" t="s">
        <v>5</v>
      </c>
      <c r="I38" s="69" t="s">
        <v>6</v>
      </c>
      <c r="J38" s="70" t="s">
        <v>7</v>
      </c>
      <c r="K38" s="74" t="s">
        <v>5</v>
      </c>
      <c r="L38" s="69" t="s">
        <v>6</v>
      </c>
      <c r="M38" s="69" t="s">
        <v>7</v>
      </c>
      <c r="N38" s="74" t="s">
        <v>5</v>
      </c>
      <c r="O38" s="69" t="s">
        <v>6</v>
      </c>
      <c r="P38" s="70" t="s">
        <v>7</v>
      </c>
      <c r="Q38" s="79" t="s">
        <v>5</v>
      </c>
      <c r="R38" s="69" t="s">
        <v>6</v>
      </c>
      <c r="S38" s="70" t="s">
        <v>7</v>
      </c>
      <c r="T38" s="730"/>
    </row>
    <row r="39">
      <c r="A39" s="326" t="s">
        <v>309</v>
      </c>
      <c r="B39" s="113">
        <f t="shared" ref="B39:D39" si="4">C23</f>
        <v>691.332344</v>
      </c>
      <c r="C39" s="115">
        <f t="shared" si="4"/>
        <v>1011.633684</v>
      </c>
      <c r="D39" s="117">
        <f t="shared" si="4"/>
        <v>1331.935025</v>
      </c>
      <c r="E39" s="113">
        <f>C18*MeanDomesticOilBill</f>
        <v>1161.1565</v>
      </c>
      <c r="F39" s="115">
        <f>D18*MeanDomesticOilBill</f>
        <v>1699.132173</v>
      </c>
      <c r="G39" s="117">
        <f>E18*MeanDomesticOilBill</f>
        <v>2237.107846</v>
      </c>
      <c r="H39" s="1048">
        <v>0.0</v>
      </c>
      <c r="I39" s="720">
        <v>0.0</v>
      </c>
      <c r="J39" s="157">
        <v>0.0</v>
      </c>
      <c r="K39" s="113">
        <f>numberDwellingsUK*E31/1000</f>
        <v>3074.001408</v>
      </c>
      <c r="L39" s="115">
        <f>numberDwellingsUK*D31/1000</f>
        <v>3586.334976</v>
      </c>
      <c r="M39" s="115">
        <f>numberDwellingsUK*C31/1000</f>
        <v>4098.668544</v>
      </c>
      <c r="N39" s="113">
        <f>numberDwellingsUK*C32/1000</f>
        <v>261.9352</v>
      </c>
      <c r="O39" s="115">
        <f>numberDwellingsUK*D32/1000</f>
        <v>229.1933</v>
      </c>
      <c r="P39" s="117">
        <f>numberDwellingsUK*E32/1000</f>
        <v>196.4514</v>
      </c>
      <c r="Q39" s="115">
        <v>0.0</v>
      </c>
      <c r="R39" s="115">
        <v>0.0</v>
      </c>
      <c r="S39" s="117">
        <v>0.0</v>
      </c>
      <c r="T39" s="258" t="s">
        <v>262</v>
      </c>
    </row>
    <row r="40">
      <c r="A40" s="635" t="s">
        <v>83</v>
      </c>
      <c r="B40" s="403">
        <f t="shared" ref="B40:D40" si="5">C25</f>
        <v>0</v>
      </c>
      <c r="C40" s="405">
        <f t="shared" si="5"/>
        <v>505.8168421</v>
      </c>
      <c r="D40" s="572">
        <f t="shared" si="5"/>
        <v>1011.633684</v>
      </c>
      <c r="E40" s="403">
        <f t="shared" ref="E40:G40" si="6">C26</f>
        <v>0</v>
      </c>
      <c r="F40" s="405">
        <f t="shared" si="6"/>
        <v>849.5660865</v>
      </c>
      <c r="G40" s="572">
        <f t="shared" si="6"/>
        <v>1699.132173</v>
      </c>
      <c r="H40" s="751">
        <v>0.0</v>
      </c>
      <c r="I40" s="752">
        <v>0.0</v>
      </c>
      <c r="J40" s="753">
        <v>0.0</v>
      </c>
      <c r="K40" s="403">
        <f>numberDwellingsUK*C33/1000</f>
        <v>21518.00986</v>
      </c>
      <c r="L40" s="405">
        <f>numberDwellingsUK*D33/1000</f>
        <v>22030.34342</v>
      </c>
      <c r="M40" s="405">
        <f>numberDwellingsUK*E33/1000</f>
        <v>22542.67699</v>
      </c>
      <c r="N40" s="403">
        <f>numberDwellingsUK*C34/1000</f>
        <v>1375.1598</v>
      </c>
      <c r="O40" s="405">
        <f>numberDwellingsUK*D34/1000</f>
        <v>1407.9017</v>
      </c>
      <c r="P40" s="572">
        <f>numberDwellingsUK*E34/1000</f>
        <v>1440.6436</v>
      </c>
      <c r="Q40" s="405">
        <v>0.0</v>
      </c>
      <c r="R40" s="405">
        <v>0.0</v>
      </c>
      <c r="S40" s="572">
        <v>0.0</v>
      </c>
      <c r="T40" s="496" t="s">
        <v>262</v>
      </c>
    </row>
    <row r="41">
      <c r="A41" s="425"/>
    </row>
    <row r="42">
      <c r="A42" s="425"/>
    </row>
    <row r="43">
      <c r="A43" s="425"/>
    </row>
    <row r="44">
      <c r="A44" s="425"/>
    </row>
    <row r="45">
      <c r="A45" s="425"/>
    </row>
    <row r="46">
      <c r="A46" s="425"/>
    </row>
    <row r="47">
      <c r="A47" s="425"/>
    </row>
    <row r="48">
      <c r="A48" s="425"/>
    </row>
    <row r="49">
      <c r="A49" s="425"/>
    </row>
    <row r="50">
      <c r="A50" s="425"/>
    </row>
    <row r="51">
      <c r="A51" s="425"/>
    </row>
    <row r="52">
      <c r="A52" s="425"/>
    </row>
    <row r="53">
      <c r="A53" s="425"/>
    </row>
    <row r="54">
      <c r="A54" s="425"/>
    </row>
    <row r="55">
      <c r="A55" s="425"/>
    </row>
    <row r="56">
      <c r="A56" s="425"/>
    </row>
    <row r="57">
      <c r="A57" s="425"/>
    </row>
    <row r="58">
      <c r="A58" s="425"/>
    </row>
    <row r="59">
      <c r="A59" s="425"/>
    </row>
    <row r="60">
      <c r="A60" s="425"/>
    </row>
    <row r="61">
      <c r="A61" s="425"/>
    </row>
    <row r="62">
      <c r="A62" s="425"/>
    </row>
    <row r="63">
      <c r="A63" s="425"/>
    </row>
    <row r="64">
      <c r="A64" s="425"/>
    </row>
    <row r="65">
      <c r="A65" s="425"/>
    </row>
    <row r="66">
      <c r="A66" s="425"/>
    </row>
    <row r="67">
      <c r="A67" s="425"/>
    </row>
    <row r="68">
      <c r="A68" s="425"/>
    </row>
    <row r="69">
      <c r="A69" s="425"/>
    </row>
    <row r="70">
      <c r="A70" s="425"/>
    </row>
    <row r="71">
      <c r="A71" s="425"/>
    </row>
    <row r="72">
      <c r="A72" s="425"/>
    </row>
    <row r="73">
      <c r="A73" s="425"/>
    </row>
    <row r="74">
      <c r="A74" s="425"/>
    </row>
    <row r="75">
      <c r="A75" s="425"/>
    </row>
    <row r="76">
      <c r="A76" s="425"/>
    </row>
    <row r="77">
      <c r="A77" s="425"/>
    </row>
    <row r="78">
      <c r="A78" s="425"/>
    </row>
    <row r="79">
      <c r="A79" s="425"/>
    </row>
    <row r="80">
      <c r="A80" s="425"/>
    </row>
    <row r="81">
      <c r="A81" s="425"/>
    </row>
    <row r="82">
      <c r="A82" s="425"/>
    </row>
    <row r="83">
      <c r="A83" s="425"/>
    </row>
    <row r="84">
      <c r="A84" s="425"/>
    </row>
    <row r="85">
      <c r="A85" s="425"/>
    </row>
    <row r="86">
      <c r="A86" s="425"/>
    </row>
    <row r="87">
      <c r="A87" s="425"/>
    </row>
    <row r="88">
      <c r="A88" s="425"/>
    </row>
    <row r="89">
      <c r="A89" s="425"/>
    </row>
    <row r="90">
      <c r="A90" s="425"/>
    </row>
    <row r="91">
      <c r="A91" s="425"/>
    </row>
    <row r="92">
      <c r="A92" s="425"/>
    </row>
    <row r="93">
      <c r="A93" s="425"/>
    </row>
    <row r="94">
      <c r="A94" s="425"/>
    </row>
    <row r="95">
      <c r="A95" s="425"/>
    </row>
    <row r="96">
      <c r="A96" s="425"/>
    </row>
    <row r="97">
      <c r="A97" s="425"/>
    </row>
    <row r="98">
      <c r="A98" s="425"/>
    </row>
    <row r="99">
      <c r="A99" s="425"/>
    </row>
    <row r="100">
      <c r="A100" s="425"/>
    </row>
    <row r="101">
      <c r="A101" s="425"/>
    </row>
    <row r="102">
      <c r="A102" s="425"/>
    </row>
    <row r="103">
      <c r="A103" s="425"/>
    </row>
    <row r="104">
      <c r="A104" s="425"/>
    </row>
    <row r="105">
      <c r="A105" s="425"/>
    </row>
    <row r="106">
      <c r="A106" s="425"/>
    </row>
    <row r="107">
      <c r="A107" s="425"/>
    </row>
    <row r="108">
      <c r="A108" s="425"/>
    </row>
    <row r="109">
      <c r="A109" s="425"/>
    </row>
    <row r="110">
      <c r="A110" s="425"/>
    </row>
    <row r="111">
      <c r="A111" s="425"/>
    </row>
    <row r="112">
      <c r="A112" s="425"/>
    </row>
    <row r="113">
      <c r="A113" s="425"/>
    </row>
    <row r="114">
      <c r="A114" s="425"/>
    </row>
    <row r="115">
      <c r="A115" s="425"/>
    </row>
    <row r="116">
      <c r="A116" s="425"/>
    </row>
    <row r="117">
      <c r="A117" s="425"/>
    </row>
    <row r="118">
      <c r="A118" s="425"/>
    </row>
    <row r="119">
      <c r="A119" s="425"/>
    </row>
    <row r="120">
      <c r="A120" s="425"/>
    </row>
    <row r="121">
      <c r="A121" s="425"/>
    </row>
    <row r="122">
      <c r="A122" s="425"/>
    </row>
    <row r="123">
      <c r="A123" s="425"/>
    </row>
    <row r="124">
      <c r="A124" s="425"/>
    </row>
    <row r="125">
      <c r="A125" s="425"/>
    </row>
    <row r="126">
      <c r="A126" s="425"/>
    </row>
    <row r="127">
      <c r="A127" s="425"/>
    </row>
    <row r="128">
      <c r="A128" s="425"/>
    </row>
    <row r="129">
      <c r="A129" s="425"/>
    </row>
    <row r="130">
      <c r="A130" s="425"/>
    </row>
    <row r="131">
      <c r="A131" s="425"/>
    </row>
    <row r="132">
      <c r="A132" s="425"/>
    </row>
    <row r="133">
      <c r="A133" s="425"/>
    </row>
    <row r="134">
      <c r="A134" s="425"/>
    </row>
    <row r="135">
      <c r="A135" s="425"/>
    </row>
    <row r="136">
      <c r="A136" s="425"/>
    </row>
    <row r="137">
      <c r="A137" s="425"/>
    </row>
    <row r="138">
      <c r="A138" s="425"/>
    </row>
    <row r="139">
      <c r="A139" s="425"/>
    </row>
    <row r="140">
      <c r="A140" s="425"/>
    </row>
    <row r="141">
      <c r="A141" s="425"/>
    </row>
    <row r="142">
      <c r="A142" s="425"/>
    </row>
    <row r="143">
      <c r="A143" s="425"/>
    </row>
    <row r="144">
      <c r="A144" s="425"/>
    </row>
    <row r="145">
      <c r="A145" s="425"/>
    </row>
    <row r="146">
      <c r="A146" s="425"/>
    </row>
    <row r="147">
      <c r="A147" s="425"/>
    </row>
    <row r="148">
      <c r="A148" s="425"/>
    </row>
    <row r="149">
      <c r="A149" s="425"/>
    </row>
    <row r="150">
      <c r="A150" s="425"/>
    </row>
    <row r="151">
      <c r="A151" s="425"/>
    </row>
    <row r="152">
      <c r="A152" s="425"/>
    </row>
    <row r="153">
      <c r="A153" s="425"/>
    </row>
    <row r="154">
      <c r="A154" s="425"/>
    </row>
    <row r="155">
      <c r="A155" s="425"/>
    </row>
    <row r="156">
      <c r="A156" s="425"/>
    </row>
    <row r="157">
      <c r="A157" s="425"/>
    </row>
    <row r="158">
      <c r="A158" s="425"/>
    </row>
    <row r="159">
      <c r="A159" s="425"/>
    </row>
    <row r="160">
      <c r="A160" s="425"/>
    </row>
    <row r="161">
      <c r="A161" s="425"/>
    </row>
    <row r="162">
      <c r="A162" s="425"/>
    </row>
    <row r="163">
      <c r="A163" s="425"/>
    </row>
    <row r="164">
      <c r="A164" s="425"/>
    </row>
    <row r="165">
      <c r="A165" s="425"/>
    </row>
    <row r="166">
      <c r="A166" s="425"/>
    </row>
    <row r="167">
      <c r="A167" s="425"/>
    </row>
    <row r="168">
      <c r="A168" s="425"/>
    </row>
    <row r="169">
      <c r="A169" s="425"/>
    </row>
    <row r="170">
      <c r="A170" s="425"/>
    </row>
    <row r="171">
      <c r="A171" s="425"/>
    </row>
    <row r="172">
      <c r="A172" s="425"/>
    </row>
    <row r="173">
      <c r="A173" s="425"/>
    </row>
    <row r="174">
      <c r="A174" s="425"/>
    </row>
    <row r="175">
      <c r="A175" s="425"/>
    </row>
    <row r="176">
      <c r="A176" s="425"/>
    </row>
    <row r="177">
      <c r="A177" s="425"/>
    </row>
    <row r="178">
      <c r="A178" s="425"/>
    </row>
    <row r="179">
      <c r="A179" s="425"/>
    </row>
    <row r="180">
      <c r="A180" s="425"/>
    </row>
    <row r="181">
      <c r="A181" s="425"/>
    </row>
    <row r="182">
      <c r="A182" s="425"/>
    </row>
    <row r="183">
      <c r="A183" s="425"/>
    </row>
    <row r="184">
      <c r="A184" s="425"/>
    </row>
    <row r="185">
      <c r="A185" s="425"/>
    </row>
    <row r="186">
      <c r="A186" s="425"/>
    </row>
    <row r="187">
      <c r="A187" s="425"/>
    </row>
    <row r="188">
      <c r="A188" s="425"/>
    </row>
    <row r="189">
      <c r="A189" s="425"/>
    </row>
    <row r="190">
      <c r="A190" s="425"/>
    </row>
    <row r="191">
      <c r="A191" s="425"/>
    </row>
    <row r="192">
      <c r="A192" s="425"/>
    </row>
    <row r="193">
      <c r="A193" s="425"/>
    </row>
    <row r="194">
      <c r="A194" s="425"/>
    </row>
    <row r="195">
      <c r="A195" s="425"/>
    </row>
    <row r="196">
      <c r="A196" s="425"/>
    </row>
    <row r="197">
      <c r="A197" s="425"/>
    </row>
    <row r="198">
      <c r="A198" s="425"/>
    </row>
    <row r="199">
      <c r="A199" s="425"/>
    </row>
    <row r="200">
      <c r="A200" s="425"/>
    </row>
    <row r="201">
      <c r="A201" s="425"/>
    </row>
    <row r="202">
      <c r="A202" s="425"/>
    </row>
    <row r="203">
      <c r="A203" s="425"/>
    </row>
    <row r="204">
      <c r="A204" s="425"/>
    </row>
    <row r="205">
      <c r="A205" s="425"/>
    </row>
    <row r="206">
      <c r="A206" s="425"/>
    </row>
    <row r="207">
      <c r="A207" s="425"/>
    </row>
    <row r="208">
      <c r="A208" s="425"/>
    </row>
    <row r="209">
      <c r="A209" s="425"/>
    </row>
    <row r="210">
      <c r="A210" s="425"/>
    </row>
    <row r="211">
      <c r="A211" s="425"/>
    </row>
    <row r="212">
      <c r="A212" s="425"/>
    </row>
    <row r="213">
      <c r="A213" s="425"/>
    </row>
    <row r="214">
      <c r="A214" s="425"/>
    </row>
    <row r="215">
      <c r="A215" s="425"/>
    </row>
    <row r="216">
      <c r="A216" s="425"/>
    </row>
    <row r="217">
      <c r="A217" s="425"/>
    </row>
    <row r="218">
      <c r="A218" s="425"/>
    </row>
    <row r="219">
      <c r="A219" s="425"/>
    </row>
    <row r="220">
      <c r="A220" s="425"/>
    </row>
    <row r="221">
      <c r="A221" s="425"/>
    </row>
    <row r="222">
      <c r="A222" s="425"/>
    </row>
    <row r="223">
      <c r="A223" s="425"/>
    </row>
    <row r="224">
      <c r="A224" s="425"/>
    </row>
    <row r="225">
      <c r="A225" s="425"/>
    </row>
    <row r="226">
      <c r="A226" s="425"/>
    </row>
    <row r="227">
      <c r="A227" s="425"/>
    </row>
    <row r="228">
      <c r="A228" s="425"/>
    </row>
    <row r="229">
      <c r="A229" s="425"/>
    </row>
    <row r="230">
      <c r="A230" s="425"/>
    </row>
    <row r="231">
      <c r="A231" s="425"/>
    </row>
    <row r="232">
      <c r="A232" s="425"/>
    </row>
    <row r="233">
      <c r="A233" s="425"/>
    </row>
    <row r="234">
      <c r="A234" s="425"/>
    </row>
    <row r="235">
      <c r="A235" s="425"/>
    </row>
    <row r="236">
      <c r="A236" s="425"/>
    </row>
    <row r="237">
      <c r="A237" s="425"/>
    </row>
    <row r="238">
      <c r="A238" s="425"/>
    </row>
    <row r="239">
      <c r="A239" s="425"/>
    </row>
    <row r="240">
      <c r="A240" s="425"/>
    </row>
    <row r="241">
      <c r="A241" s="425"/>
    </row>
    <row r="242">
      <c r="A242" s="425"/>
    </row>
    <row r="243">
      <c r="A243" s="425"/>
    </row>
    <row r="244">
      <c r="A244" s="425"/>
    </row>
    <row r="245">
      <c r="A245" s="425"/>
    </row>
    <row r="246">
      <c r="A246" s="425"/>
    </row>
    <row r="247">
      <c r="A247" s="425"/>
    </row>
    <row r="248">
      <c r="A248" s="425"/>
    </row>
    <row r="249">
      <c r="A249" s="425"/>
    </row>
    <row r="250">
      <c r="A250" s="425"/>
    </row>
    <row r="251">
      <c r="A251" s="425"/>
    </row>
    <row r="252">
      <c r="A252" s="425"/>
    </row>
    <row r="253">
      <c r="A253" s="425"/>
    </row>
    <row r="254">
      <c r="A254" s="425"/>
    </row>
    <row r="255">
      <c r="A255" s="425"/>
    </row>
    <row r="256">
      <c r="A256" s="425"/>
    </row>
    <row r="257">
      <c r="A257" s="425"/>
    </row>
    <row r="258">
      <c r="A258" s="425"/>
    </row>
    <row r="259">
      <c r="A259" s="425"/>
    </row>
    <row r="260">
      <c r="A260" s="425"/>
    </row>
    <row r="261">
      <c r="A261" s="425"/>
    </row>
    <row r="262">
      <c r="A262" s="425"/>
    </row>
    <row r="263">
      <c r="A263" s="425"/>
    </row>
    <row r="264">
      <c r="A264" s="425"/>
    </row>
    <row r="265">
      <c r="A265" s="425"/>
    </row>
    <row r="266">
      <c r="A266" s="425"/>
    </row>
    <row r="267">
      <c r="A267" s="425"/>
    </row>
    <row r="268">
      <c r="A268" s="425"/>
    </row>
    <row r="269">
      <c r="A269" s="425"/>
    </row>
    <row r="270">
      <c r="A270" s="425"/>
    </row>
    <row r="271">
      <c r="A271" s="425"/>
    </row>
    <row r="272">
      <c r="A272" s="425"/>
    </row>
    <row r="273">
      <c r="A273" s="425"/>
    </row>
    <row r="274">
      <c r="A274" s="425"/>
    </row>
    <row r="275">
      <c r="A275" s="425"/>
    </row>
    <row r="276">
      <c r="A276" s="425"/>
    </row>
    <row r="277">
      <c r="A277" s="425"/>
    </row>
    <row r="278">
      <c r="A278" s="425"/>
    </row>
    <row r="279">
      <c r="A279" s="425"/>
    </row>
    <row r="280">
      <c r="A280" s="425"/>
    </row>
    <row r="281">
      <c r="A281" s="425"/>
    </row>
    <row r="282">
      <c r="A282" s="425"/>
    </row>
    <row r="283">
      <c r="A283" s="425"/>
    </row>
    <row r="284">
      <c r="A284" s="425"/>
    </row>
    <row r="285">
      <c r="A285" s="425"/>
    </row>
    <row r="286">
      <c r="A286" s="425"/>
    </row>
    <row r="287">
      <c r="A287" s="425"/>
    </row>
    <row r="288">
      <c r="A288" s="425"/>
    </row>
    <row r="289">
      <c r="A289" s="425"/>
    </row>
    <row r="290">
      <c r="A290" s="425"/>
    </row>
    <row r="291">
      <c r="A291" s="425"/>
    </row>
    <row r="292">
      <c r="A292" s="425"/>
    </row>
    <row r="293">
      <c r="A293" s="425"/>
    </row>
    <row r="294">
      <c r="A294" s="425"/>
    </row>
    <row r="295">
      <c r="A295" s="425"/>
    </row>
    <row r="296">
      <c r="A296" s="425"/>
    </row>
    <row r="297">
      <c r="A297" s="425"/>
    </row>
    <row r="298">
      <c r="A298" s="425"/>
    </row>
    <row r="299">
      <c r="A299" s="425"/>
    </row>
    <row r="300">
      <c r="A300" s="425"/>
    </row>
    <row r="301">
      <c r="A301" s="425"/>
    </row>
    <row r="302">
      <c r="A302" s="425"/>
    </row>
    <row r="303">
      <c r="A303" s="425"/>
    </row>
    <row r="304">
      <c r="A304" s="425"/>
    </row>
    <row r="305">
      <c r="A305" s="425"/>
    </row>
    <row r="306">
      <c r="A306" s="425"/>
    </row>
    <row r="307">
      <c r="A307" s="425"/>
    </row>
    <row r="308">
      <c r="A308" s="425"/>
    </row>
    <row r="309">
      <c r="A309" s="425"/>
    </row>
    <row r="310">
      <c r="A310" s="425"/>
    </row>
    <row r="311">
      <c r="A311" s="425"/>
    </row>
    <row r="312">
      <c r="A312" s="425"/>
    </row>
    <row r="313">
      <c r="A313" s="425"/>
    </row>
    <row r="314">
      <c r="A314" s="425"/>
    </row>
    <row r="315">
      <c r="A315" s="425"/>
    </row>
    <row r="316">
      <c r="A316" s="425"/>
    </row>
    <row r="317">
      <c r="A317" s="425"/>
    </row>
    <row r="318">
      <c r="A318" s="425"/>
    </row>
    <row r="319">
      <c r="A319" s="425"/>
    </row>
    <row r="320">
      <c r="A320" s="425"/>
    </row>
    <row r="321">
      <c r="A321" s="425"/>
    </row>
    <row r="322">
      <c r="A322" s="425"/>
    </row>
    <row r="323">
      <c r="A323" s="425"/>
    </row>
    <row r="324">
      <c r="A324" s="425"/>
    </row>
    <row r="325">
      <c r="A325" s="425"/>
    </row>
    <row r="326">
      <c r="A326" s="425"/>
    </row>
    <row r="327">
      <c r="A327" s="425"/>
    </row>
    <row r="328">
      <c r="A328" s="425"/>
    </row>
    <row r="329">
      <c r="A329" s="425"/>
    </row>
    <row r="330">
      <c r="A330" s="425"/>
    </row>
    <row r="331">
      <c r="A331" s="425"/>
    </row>
    <row r="332">
      <c r="A332" s="425"/>
    </row>
    <row r="333">
      <c r="A333" s="425"/>
    </row>
    <row r="334">
      <c r="A334" s="425"/>
    </row>
    <row r="335">
      <c r="A335" s="425"/>
    </row>
    <row r="336">
      <c r="A336" s="425"/>
    </row>
    <row r="337">
      <c r="A337" s="425"/>
    </row>
    <row r="338">
      <c r="A338" s="425"/>
    </row>
    <row r="339">
      <c r="A339" s="425"/>
    </row>
    <row r="340">
      <c r="A340" s="425"/>
    </row>
    <row r="341">
      <c r="A341" s="425"/>
    </row>
    <row r="342">
      <c r="A342" s="425"/>
    </row>
    <row r="343">
      <c r="A343" s="425"/>
    </row>
    <row r="344">
      <c r="A344" s="425"/>
    </row>
    <row r="345">
      <c r="A345" s="425"/>
    </row>
    <row r="346">
      <c r="A346" s="425"/>
    </row>
    <row r="347">
      <c r="A347" s="425"/>
    </row>
    <row r="348">
      <c r="A348" s="425"/>
    </row>
    <row r="349">
      <c r="A349" s="425"/>
    </row>
    <row r="350">
      <c r="A350" s="425"/>
    </row>
    <row r="351">
      <c r="A351" s="425"/>
    </row>
    <row r="352">
      <c r="A352" s="425"/>
    </row>
    <row r="353">
      <c r="A353" s="425"/>
    </row>
    <row r="354">
      <c r="A354" s="425"/>
    </row>
    <row r="355">
      <c r="A355" s="425"/>
    </row>
    <row r="356">
      <c r="A356" s="425"/>
    </row>
    <row r="357">
      <c r="A357" s="425"/>
    </row>
    <row r="358">
      <c r="A358" s="425"/>
    </row>
    <row r="359">
      <c r="A359" s="425"/>
    </row>
    <row r="360">
      <c r="A360" s="425"/>
    </row>
    <row r="361">
      <c r="A361" s="425"/>
    </row>
    <row r="362">
      <c r="A362" s="425"/>
    </row>
    <row r="363">
      <c r="A363" s="425"/>
    </row>
    <row r="364">
      <c r="A364" s="425"/>
    </row>
    <row r="365">
      <c r="A365" s="425"/>
    </row>
    <row r="366">
      <c r="A366" s="425"/>
    </row>
    <row r="367">
      <c r="A367" s="425"/>
    </row>
    <row r="368">
      <c r="A368" s="425"/>
    </row>
    <row r="369">
      <c r="A369" s="425"/>
    </row>
    <row r="370">
      <c r="A370" s="425"/>
    </row>
    <row r="371">
      <c r="A371" s="425"/>
    </row>
    <row r="372">
      <c r="A372" s="425"/>
    </row>
    <row r="373">
      <c r="A373" s="425"/>
    </row>
    <row r="374">
      <c r="A374" s="425"/>
    </row>
    <row r="375">
      <c r="A375" s="425"/>
    </row>
    <row r="376">
      <c r="A376" s="425"/>
    </row>
    <row r="377">
      <c r="A377" s="425"/>
    </row>
    <row r="378">
      <c r="A378" s="425"/>
    </row>
    <row r="379">
      <c r="A379" s="425"/>
    </row>
    <row r="380">
      <c r="A380" s="425"/>
    </row>
    <row r="381">
      <c r="A381" s="425"/>
    </row>
    <row r="382">
      <c r="A382" s="425"/>
    </row>
    <row r="383">
      <c r="A383" s="425"/>
    </row>
    <row r="384">
      <c r="A384" s="425"/>
    </row>
    <row r="385">
      <c r="A385" s="425"/>
    </row>
    <row r="386">
      <c r="A386" s="425"/>
    </row>
    <row r="387">
      <c r="A387" s="425"/>
    </row>
    <row r="388">
      <c r="A388" s="425"/>
    </row>
    <row r="389">
      <c r="A389" s="425"/>
    </row>
    <row r="390">
      <c r="A390" s="425"/>
    </row>
    <row r="391">
      <c r="A391" s="425"/>
    </row>
    <row r="392">
      <c r="A392" s="425"/>
    </row>
    <row r="393">
      <c r="A393" s="425"/>
    </row>
    <row r="394">
      <c r="A394" s="425"/>
    </row>
    <row r="395">
      <c r="A395" s="425"/>
    </row>
    <row r="396">
      <c r="A396" s="425"/>
    </row>
    <row r="397">
      <c r="A397" s="425"/>
    </row>
    <row r="398">
      <c r="A398" s="425"/>
    </row>
    <row r="399">
      <c r="A399" s="425"/>
    </row>
    <row r="400">
      <c r="A400" s="425"/>
    </row>
    <row r="401">
      <c r="A401" s="425"/>
    </row>
    <row r="402">
      <c r="A402" s="425"/>
    </row>
    <row r="403">
      <c r="A403" s="425"/>
    </row>
    <row r="404">
      <c r="A404" s="425"/>
    </row>
    <row r="405">
      <c r="A405" s="425"/>
    </row>
    <row r="406">
      <c r="A406" s="425"/>
    </row>
    <row r="407">
      <c r="A407" s="425"/>
    </row>
    <row r="408">
      <c r="A408" s="425"/>
    </row>
    <row r="409">
      <c r="A409" s="425"/>
    </row>
    <row r="410">
      <c r="A410" s="425"/>
    </row>
    <row r="411">
      <c r="A411" s="425"/>
    </row>
    <row r="412">
      <c r="A412" s="425"/>
    </row>
    <row r="413">
      <c r="A413" s="425"/>
    </row>
    <row r="414">
      <c r="A414" s="425"/>
    </row>
    <row r="415">
      <c r="A415" s="425"/>
    </row>
    <row r="416">
      <c r="A416" s="425"/>
    </row>
    <row r="417">
      <c r="A417" s="425"/>
    </row>
    <row r="418">
      <c r="A418" s="425"/>
    </row>
    <row r="419">
      <c r="A419" s="425"/>
    </row>
    <row r="420">
      <c r="A420" s="425"/>
    </row>
    <row r="421">
      <c r="A421" s="425"/>
    </row>
    <row r="422">
      <c r="A422" s="425"/>
    </row>
    <row r="423">
      <c r="A423" s="425"/>
    </row>
    <row r="424">
      <c r="A424" s="425"/>
    </row>
    <row r="425">
      <c r="A425" s="425"/>
    </row>
    <row r="426">
      <c r="A426" s="425"/>
    </row>
    <row r="427">
      <c r="A427" s="425"/>
    </row>
    <row r="428">
      <c r="A428" s="425"/>
    </row>
    <row r="429">
      <c r="A429" s="425"/>
    </row>
    <row r="430">
      <c r="A430" s="425"/>
    </row>
    <row r="431">
      <c r="A431" s="425"/>
    </row>
    <row r="432">
      <c r="A432" s="425"/>
    </row>
    <row r="433">
      <c r="A433" s="425"/>
    </row>
    <row r="434">
      <c r="A434" s="425"/>
    </row>
    <row r="435">
      <c r="A435" s="425"/>
    </row>
    <row r="436">
      <c r="A436" s="425"/>
    </row>
    <row r="437">
      <c r="A437" s="425"/>
    </row>
    <row r="438">
      <c r="A438" s="425"/>
    </row>
    <row r="439">
      <c r="A439" s="425"/>
    </row>
    <row r="440">
      <c r="A440" s="425"/>
    </row>
    <row r="441">
      <c r="A441" s="425"/>
    </row>
    <row r="442">
      <c r="A442" s="425"/>
    </row>
    <row r="443">
      <c r="A443" s="425"/>
    </row>
    <row r="444">
      <c r="A444" s="425"/>
    </row>
    <row r="445">
      <c r="A445" s="425"/>
    </row>
    <row r="446">
      <c r="A446" s="425"/>
    </row>
    <row r="447">
      <c r="A447" s="425"/>
    </row>
    <row r="448">
      <c r="A448" s="425"/>
    </row>
    <row r="449">
      <c r="A449" s="425"/>
    </row>
    <row r="450">
      <c r="A450" s="425"/>
    </row>
    <row r="451">
      <c r="A451" s="425"/>
    </row>
    <row r="452">
      <c r="A452" s="425"/>
    </row>
    <row r="453">
      <c r="A453" s="425"/>
    </row>
    <row r="454">
      <c r="A454" s="425"/>
    </row>
    <row r="455">
      <c r="A455" s="425"/>
    </row>
    <row r="456">
      <c r="A456" s="425"/>
    </row>
    <row r="457">
      <c r="A457" s="425"/>
    </row>
    <row r="458">
      <c r="A458" s="425"/>
    </row>
    <row r="459">
      <c r="A459" s="425"/>
    </row>
    <row r="460">
      <c r="A460" s="425"/>
    </row>
    <row r="461">
      <c r="A461" s="425"/>
    </row>
    <row r="462">
      <c r="A462" s="425"/>
    </row>
    <row r="463">
      <c r="A463" s="425"/>
    </row>
    <row r="464">
      <c r="A464" s="425"/>
    </row>
    <row r="465">
      <c r="A465" s="425"/>
    </row>
    <row r="466">
      <c r="A466" s="425"/>
    </row>
    <row r="467">
      <c r="A467" s="425"/>
    </row>
    <row r="468">
      <c r="A468" s="425"/>
    </row>
    <row r="469">
      <c r="A469" s="425"/>
    </row>
    <row r="470">
      <c r="A470" s="425"/>
    </row>
    <row r="471">
      <c r="A471" s="425"/>
    </row>
    <row r="472">
      <c r="A472" s="425"/>
    </row>
    <row r="473">
      <c r="A473" s="425"/>
    </row>
    <row r="474">
      <c r="A474" s="425"/>
    </row>
    <row r="475">
      <c r="A475" s="425"/>
    </row>
    <row r="476">
      <c r="A476" s="425"/>
    </row>
    <row r="477">
      <c r="A477" s="425"/>
    </row>
    <row r="478">
      <c r="A478" s="425"/>
    </row>
    <row r="479">
      <c r="A479" s="425"/>
    </row>
    <row r="480">
      <c r="A480" s="425"/>
    </row>
    <row r="481">
      <c r="A481" s="425"/>
    </row>
    <row r="482">
      <c r="A482" s="425"/>
    </row>
    <row r="483">
      <c r="A483" s="425"/>
    </row>
    <row r="484">
      <c r="A484" s="425"/>
    </row>
    <row r="485">
      <c r="A485" s="425"/>
    </row>
    <row r="486">
      <c r="A486" s="425"/>
    </row>
    <row r="487">
      <c r="A487" s="425"/>
    </row>
    <row r="488">
      <c r="A488" s="425"/>
    </row>
    <row r="489">
      <c r="A489" s="425"/>
    </row>
    <row r="490">
      <c r="A490" s="425"/>
    </row>
    <row r="491">
      <c r="A491" s="425"/>
    </row>
    <row r="492">
      <c r="A492" s="425"/>
    </row>
    <row r="493">
      <c r="A493" s="425"/>
    </row>
    <row r="494">
      <c r="A494" s="425"/>
    </row>
    <row r="495">
      <c r="A495" s="425"/>
    </row>
    <row r="496">
      <c r="A496" s="425"/>
    </row>
    <row r="497">
      <c r="A497" s="425"/>
    </row>
    <row r="498">
      <c r="A498" s="425"/>
    </row>
    <row r="499">
      <c r="A499" s="425"/>
    </row>
    <row r="500">
      <c r="A500" s="425"/>
    </row>
    <row r="501">
      <c r="A501" s="425"/>
    </row>
    <row r="502">
      <c r="A502" s="425"/>
    </row>
    <row r="503">
      <c r="A503" s="425"/>
    </row>
    <row r="504">
      <c r="A504" s="425"/>
    </row>
    <row r="505">
      <c r="A505" s="425"/>
    </row>
    <row r="506">
      <c r="A506" s="425"/>
    </row>
    <row r="507">
      <c r="A507" s="425"/>
    </row>
    <row r="508">
      <c r="A508" s="425"/>
    </row>
    <row r="509">
      <c r="A509" s="425"/>
    </row>
    <row r="510">
      <c r="A510" s="425"/>
    </row>
    <row r="511">
      <c r="A511" s="425"/>
    </row>
    <row r="512">
      <c r="A512" s="425"/>
    </row>
    <row r="513">
      <c r="A513" s="425"/>
    </row>
    <row r="514">
      <c r="A514" s="425"/>
    </row>
    <row r="515">
      <c r="A515" s="425"/>
    </row>
    <row r="516">
      <c r="A516" s="425"/>
    </row>
    <row r="517">
      <c r="A517" s="425"/>
    </row>
    <row r="518">
      <c r="A518" s="425"/>
    </row>
    <row r="519">
      <c r="A519" s="425"/>
    </row>
    <row r="520">
      <c r="A520" s="425"/>
    </row>
    <row r="521">
      <c r="A521" s="425"/>
    </row>
    <row r="522">
      <c r="A522" s="425"/>
    </row>
    <row r="523">
      <c r="A523" s="425"/>
    </row>
    <row r="524">
      <c r="A524" s="425"/>
    </row>
    <row r="525">
      <c r="A525" s="425"/>
    </row>
    <row r="526">
      <c r="A526" s="425"/>
    </row>
    <row r="527">
      <c r="A527" s="425"/>
    </row>
    <row r="528">
      <c r="A528" s="425"/>
    </row>
    <row r="529">
      <c r="A529" s="425"/>
    </row>
    <row r="530">
      <c r="A530" s="425"/>
    </row>
    <row r="531">
      <c r="A531" s="425"/>
    </row>
    <row r="532">
      <c r="A532" s="425"/>
    </row>
    <row r="533">
      <c r="A533" s="425"/>
    </row>
    <row r="534">
      <c r="A534" s="425"/>
    </row>
    <row r="535">
      <c r="A535" s="425"/>
    </row>
    <row r="536">
      <c r="A536" s="425"/>
    </row>
    <row r="537">
      <c r="A537" s="425"/>
    </row>
    <row r="538">
      <c r="A538" s="425"/>
    </row>
    <row r="539">
      <c r="A539" s="425"/>
    </row>
    <row r="540">
      <c r="A540" s="425"/>
    </row>
    <row r="541">
      <c r="A541" s="425"/>
    </row>
    <row r="542">
      <c r="A542" s="425"/>
    </row>
    <row r="543">
      <c r="A543" s="425"/>
    </row>
    <row r="544">
      <c r="A544" s="425"/>
    </row>
    <row r="545">
      <c r="A545" s="425"/>
    </row>
    <row r="546">
      <c r="A546" s="425"/>
    </row>
    <row r="547">
      <c r="A547" s="425"/>
    </row>
    <row r="548">
      <c r="A548" s="425"/>
    </row>
    <row r="549">
      <c r="A549" s="425"/>
    </row>
    <row r="550">
      <c r="A550" s="425"/>
    </row>
    <row r="551">
      <c r="A551" s="425"/>
    </row>
    <row r="552">
      <c r="A552" s="425"/>
    </row>
    <row r="553">
      <c r="A553" s="425"/>
    </row>
    <row r="554">
      <c r="A554" s="425"/>
    </row>
    <row r="555">
      <c r="A555" s="425"/>
    </row>
    <row r="556">
      <c r="A556" s="425"/>
    </row>
    <row r="557">
      <c r="A557" s="425"/>
    </row>
    <row r="558">
      <c r="A558" s="425"/>
    </row>
    <row r="559">
      <c r="A559" s="425"/>
    </row>
    <row r="560">
      <c r="A560" s="425"/>
    </row>
    <row r="561">
      <c r="A561" s="425"/>
    </row>
    <row r="562">
      <c r="A562" s="425"/>
    </row>
    <row r="563">
      <c r="A563" s="425"/>
    </row>
    <row r="564">
      <c r="A564" s="425"/>
    </row>
    <row r="565">
      <c r="A565" s="425"/>
    </row>
    <row r="566">
      <c r="A566" s="425"/>
    </row>
    <row r="567">
      <c r="A567" s="425"/>
    </row>
    <row r="568">
      <c r="A568" s="425"/>
    </row>
    <row r="569">
      <c r="A569" s="425"/>
    </row>
    <row r="570">
      <c r="A570" s="425"/>
    </row>
    <row r="571">
      <c r="A571" s="425"/>
    </row>
    <row r="572">
      <c r="A572" s="425"/>
    </row>
    <row r="573">
      <c r="A573" s="425"/>
    </row>
    <row r="574">
      <c r="A574" s="425"/>
    </row>
    <row r="575">
      <c r="A575" s="425"/>
    </row>
    <row r="576">
      <c r="A576" s="425"/>
    </row>
    <row r="577">
      <c r="A577" s="425"/>
    </row>
    <row r="578">
      <c r="A578" s="425"/>
    </row>
    <row r="579">
      <c r="A579" s="425"/>
    </row>
    <row r="580">
      <c r="A580" s="425"/>
    </row>
    <row r="581">
      <c r="A581" s="425"/>
    </row>
    <row r="582">
      <c r="A582" s="425"/>
    </row>
    <row r="583">
      <c r="A583" s="425"/>
    </row>
    <row r="584">
      <c r="A584" s="425"/>
    </row>
    <row r="585">
      <c r="A585" s="425"/>
    </row>
    <row r="586">
      <c r="A586" s="425"/>
    </row>
    <row r="587">
      <c r="A587" s="425"/>
    </row>
    <row r="588">
      <c r="A588" s="425"/>
    </row>
    <row r="589">
      <c r="A589" s="425"/>
    </row>
    <row r="590">
      <c r="A590" s="425"/>
    </row>
    <row r="591">
      <c r="A591" s="425"/>
    </row>
    <row r="592">
      <c r="A592" s="425"/>
    </row>
    <row r="593">
      <c r="A593" s="425"/>
    </row>
    <row r="594">
      <c r="A594" s="425"/>
    </row>
    <row r="595">
      <c r="A595" s="425"/>
    </row>
    <row r="596">
      <c r="A596" s="425"/>
    </row>
    <row r="597">
      <c r="A597" s="425"/>
    </row>
    <row r="598">
      <c r="A598" s="425"/>
    </row>
    <row r="599">
      <c r="A599" s="425"/>
    </row>
    <row r="600">
      <c r="A600" s="425"/>
    </row>
    <row r="601">
      <c r="A601" s="425"/>
    </row>
    <row r="602">
      <c r="A602" s="425"/>
    </row>
    <row r="603">
      <c r="A603" s="425"/>
    </row>
    <row r="604">
      <c r="A604" s="425"/>
    </row>
    <row r="605">
      <c r="A605" s="425"/>
    </row>
    <row r="606">
      <c r="A606" s="425"/>
    </row>
    <row r="607">
      <c r="A607" s="425"/>
    </row>
    <row r="608">
      <c r="A608" s="425"/>
    </row>
    <row r="609">
      <c r="A609" s="425"/>
    </row>
    <row r="610">
      <c r="A610" s="425"/>
    </row>
    <row r="611">
      <c r="A611" s="425"/>
    </row>
    <row r="612">
      <c r="A612" s="425"/>
    </row>
    <row r="613">
      <c r="A613" s="425"/>
    </row>
    <row r="614">
      <c r="A614" s="425"/>
    </row>
    <row r="615">
      <c r="A615" s="425"/>
    </row>
    <row r="616">
      <c r="A616" s="425"/>
    </row>
    <row r="617">
      <c r="A617" s="425"/>
    </row>
    <row r="618">
      <c r="A618" s="425"/>
    </row>
    <row r="619">
      <c r="A619" s="425"/>
    </row>
    <row r="620">
      <c r="A620" s="425"/>
    </row>
    <row r="621">
      <c r="A621" s="425"/>
    </row>
    <row r="622">
      <c r="A622" s="425"/>
    </row>
    <row r="623">
      <c r="A623" s="425"/>
    </row>
    <row r="624">
      <c r="A624" s="425"/>
    </row>
    <row r="625">
      <c r="A625" s="425"/>
    </row>
    <row r="626">
      <c r="A626" s="425"/>
    </row>
    <row r="627">
      <c r="A627" s="425"/>
    </row>
    <row r="628">
      <c r="A628" s="425"/>
    </row>
    <row r="629">
      <c r="A629" s="425"/>
    </row>
    <row r="630">
      <c r="A630" s="425"/>
    </row>
    <row r="631">
      <c r="A631" s="425"/>
    </row>
    <row r="632">
      <c r="A632" s="425"/>
    </row>
    <row r="633">
      <c r="A633" s="425"/>
    </row>
    <row r="634">
      <c r="A634" s="425"/>
    </row>
    <row r="635">
      <c r="A635" s="425"/>
    </row>
    <row r="636">
      <c r="A636" s="425"/>
    </row>
    <row r="637">
      <c r="A637" s="425"/>
    </row>
    <row r="638">
      <c r="A638" s="425"/>
    </row>
    <row r="639">
      <c r="A639" s="425"/>
    </row>
    <row r="640">
      <c r="A640" s="425"/>
    </row>
    <row r="641">
      <c r="A641" s="425"/>
    </row>
    <row r="642">
      <c r="A642" s="425"/>
    </row>
    <row r="643">
      <c r="A643" s="425"/>
    </row>
    <row r="644">
      <c r="A644" s="425"/>
    </row>
    <row r="645">
      <c r="A645" s="425"/>
    </row>
    <row r="646">
      <c r="A646" s="425"/>
    </row>
    <row r="647">
      <c r="A647" s="425"/>
    </row>
    <row r="648">
      <c r="A648" s="425"/>
    </row>
    <row r="649">
      <c r="A649" s="425"/>
    </row>
    <row r="650">
      <c r="A650" s="425"/>
    </row>
    <row r="651">
      <c r="A651" s="425"/>
    </row>
    <row r="652">
      <c r="A652" s="425"/>
    </row>
    <row r="653">
      <c r="A653" s="425"/>
    </row>
    <row r="654">
      <c r="A654" s="425"/>
    </row>
    <row r="655">
      <c r="A655" s="425"/>
    </row>
    <row r="656">
      <c r="A656" s="425"/>
    </row>
    <row r="657">
      <c r="A657" s="425"/>
    </row>
    <row r="658">
      <c r="A658" s="425"/>
    </row>
    <row r="659">
      <c r="A659" s="425"/>
    </row>
    <row r="660">
      <c r="A660" s="425"/>
    </row>
    <row r="661">
      <c r="A661" s="425"/>
    </row>
    <row r="662">
      <c r="A662" s="425"/>
    </row>
    <row r="663">
      <c r="A663" s="425"/>
    </row>
    <row r="664">
      <c r="A664" s="425"/>
    </row>
    <row r="665">
      <c r="A665" s="425"/>
    </row>
    <row r="666">
      <c r="A666" s="425"/>
    </row>
    <row r="667">
      <c r="A667" s="425"/>
    </row>
    <row r="668">
      <c r="A668" s="425"/>
    </row>
    <row r="669">
      <c r="A669" s="425"/>
    </row>
    <row r="670">
      <c r="A670" s="425"/>
    </row>
    <row r="671">
      <c r="A671" s="425"/>
    </row>
    <row r="672">
      <c r="A672" s="425"/>
    </row>
    <row r="673">
      <c r="A673" s="425"/>
    </row>
    <row r="674">
      <c r="A674" s="425"/>
    </row>
    <row r="675">
      <c r="A675" s="425"/>
    </row>
    <row r="676">
      <c r="A676" s="425"/>
    </row>
    <row r="677">
      <c r="A677" s="425"/>
    </row>
    <row r="678">
      <c r="A678" s="425"/>
    </row>
    <row r="679">
      <c r="A679" s="425"/>
    </row>
    <row r="680">
      <c r="A680" s="425"/>
    </row>
    <row r="681">
      <c r="A681" s="425"/>
    </row>
    <row r="682">
      <c r="A682" s="425"/>
    </row>
    <row r="683">
      <c r="A683" s="425"/>
    </row>
    <row r="684">
      <c r="A684" s="425"/>
    </row>
    <row r="685">
      <c r="A685" s="425"/>
    </row>
    <row r="686">
      <c r="A686" s="425"/>
    </row>
    <row r="687">
      <c r="A687" s="425"/>
    </row>
    <row r="688">
      <c r="A688" s="425"/>
    </row>
    <row r="689">
      <c r="A689" s="425"/>
    </row>
    <row r="690">
      <c r="A690" s="425"/>
    </row>
    <row r="691">
      <c r="A691" s="425"/>
    </row>
    <row r="692">
      <c r="A692" s="425"/>
    </row>
    <row r="693">
      <c r="A693" s="425"/>
    </row>
    <row r="694">
      <c r="A694" s="425"/>
    </row>
    <row r="695">
      <c r="A695" s="425"/>
    </row>
    <row r="696">
      <c r="A696" s="425"/>
    </row>
    <row r="697">
      <c r="A697" s="425"/>
    </row>
    <row r="698">
      <c r="A698" s="425"/>
    </row>
    <row r="699">
      <c r="A699" s="425"/>
    </row>
    <row r="700">
      <c r="A700" s="425"/>
    </row>
    <row r="701">
      <c r="A701" s="425"/>
    </row>
    <row r="702">
      <c r="A702" s="425"/>
    </row>
    <row r="703">
      <c r="A703" s="425"/>
    </row>
    <row r="704">
      <c r="A704" s="425"/>
    </row>
    <row r="705">
      <c r="A705" s="425"/>
    </row>
    <row r="706">
      <c r="A706" s="425"/>
    </row>
    <row r="707">
      <c r="A707" s="425"/>
    </row>
    <row r="708">
      <c r="A708" s="425"/>
    </row>
    <row r="709">
      <c r="A709" s="425"/>
    </row>
    <row r="710">
      <c r="A710" s="425"/>
    </row>
    <row r="711">
      <c r="A711" s="425"/>
    </row>
    <row r="712">
      <c r="A712" s="425"/>
    </row>
    <row r="713">
      <c r="A713" s="425"/>
    </row>
    <row r="714">
      <c r="A714" s="425"/>
    </row>
    <row r="715">
      <c r="A715" s="425"/>
    </row>
    <row r="716">
      <c r="A716" s="425"/>
    </row>
    <row r="717">
      <c r="A717" s="425"/>
    </row>
    <row r="718">
      <c r="A718" s="425"/>
    </row>
    <row r="719">
      <c r="A719" s="425"/>
    </row>
    <row r="720">
      <c r="A720" s="425"/>
    </row>
    <row r="721">
      <c r="A721" s="425"/>
    </row>
    <row r="722">
      <c r="A722" s="425"/>
    </row>
    <row r="723">
      <c r="A723" s="425"/>
    </row>
    <row r="724">
      <c r="A724" s="425"/>
    </row>
    <row r="725">
      <c r="A725" s="425"/>
    </row>
    <row r="726">
      <c r="A726" s="425"/>
    </row>
    <row r="727">
      <c r="A727" s="425"/>
    </row>
    <row r="728">
      <c r="A728" s="425"/>
    </row>
    <row r="729">
      <c r="A729" s="425"/>
    </row>
    <row r="730">
      <c r="A730" s="425"/>
    </row>
    <row r="731">
      <c r="A731" s="425"/>
    </row>
    <row r="732">
      <c r="A732" s="425"/>
    </row>
    <row r="733">
      <c r="A733" s="425"/>
    </row>
    <row r="734">
      <c r="A734" s="425"/>
    </row>
    <row r="735">
      <c r="A735" s="425"/>
    </row>
    <row r="736">
      <c r="A736" s="425"/>
    </row>
    <row r="737">
      <c r="A737" s="425"/>
    </row>
    <row r="738">
      <c r="A738" s="425"/>
    </row>
    <row r="739">
      <c r="A739" s="425"/>
    </row>
    <row r="740">
      <c r="A740" s="425"/>
    </row>
    <row r="741">
      <c r="A741" s="425"/>
    </row>
    <row r="742">
      <c r="A742" s="425"/>
    </row>
    <row r="743">
      <c r="A743" s="425"/>
    </row>
    <row r="744">
      <c r="A744" s="425"/>
    </row>
    <row r="745">
      <c r="A745" s="425"/>
    </row>
    <row r="746">
      <c r="A746" s="425"/>
    </row>
    <row r="747">
      <c r="A747" s="425"/>
    </row>
    <row r="748">
      <c r="A748" s="425"/>
    </row>
    <row r="749">
      <c r="A749" s="425"/>
    </row>
    <row r="750">
      <c r="A750" s="425"/>
    </row>
    <row r="751">
      <c r="A751" s="425"/>
    </row>
    <row r="752">
      <c r="A752" s="425"/>
    </row>
    <row r="753">
      <c r="A753" s="425"/>
    </row>
    <row r="754">
      <c r="A754" s="425"/>
    </row>
    <row r="755">
      <c r="A755" s="425"/>
    </row>
    <row r="756">
      <c r="A756" s="425"/>
    </row>
    <row r="757">
      <c r="A757" s="425"/>
    </row>
    <row r="758">
      <c r="A758" s="425"/>
    </row>
    <row r="759">
      <c r="A759" s="425"/>
    </row>
    <row r="760">
      <c r="A760" s="425"/>
    </row>
    <row r="761">
      <c r="A761" s="425"/>
    </row>
    <row r="762">
      <c r="A762" s="425"/>
    </row>
    <row r="763">
      <c r="A763" s="425"/>
    </row>
    <row r="764">
      <c r="A764" s="425"/>
    </row>
    <row r="765">
      <c r="A765" s="425"/>
    </row>
    <row r="766">
      <c r="A766" s="425"/>
    </row>
    <row r="767">
      <c r="A767" s="425"/>
    </row>
    <row r="768">
      <c r="A768" s="425"/>
    </row>
    <row r="769">
      <c r="A769" s="425"/>
    </row>
    <row r="770">
      <c r="A770" s="425"/>
    </row>
    <row r="771">
      <c r="A771" s="425"/>
    </row>
    <row r="772">
      <c r="A772" s="425"/>
    </row>
    <row r="773">
      <c r="A773" s="425"/>
    </row>
    <row r="774">
      <c r="A774" s="425"/>
    </row>
    <row r="775">
      <c r="A775" s="425"/>
    </row>
    <row r="776">
      <c r="A776" s="425"/>
    </row>
    <row r="777">
      <c r="A777" s="425"/>
    </row>
    <row r="778">
      <c r="A778" s="425"/>
    </row>
    <row r="779">
      <c r="A779" s="425"/>
    </row>
    <row r="780">
      <c r="A780" s="425"/>
    </row>
    <row r="781">
      <c r="A781" s="425"/>
    </row>
    <row r="782">
      <c r="A782" s="425"/>
    </row>
    <row r="783">
      <c r="A783" s="425"/>
    </row>
    <row r="784">
      <c r="A784" s="425"/>
    </row>
    <row r="785">
      <c r="A785" s="425"/>
    </row>
    <row r="786">
      <c r="A786" s="425"/>
    </row>
    <row r="787">
      <c r="A787" s="425"/>
    </row>
    <row r="788">
      <c r="A788" s="425"/>
    </row>
    <row r="789">
      <c r="A789" s="425"/>
    </row>
    <row r="790">
      <c r="A790" s="425"/>
    </row>
    <row r="791">
      <c r="A791" s="425"/>
    </row>
    <row r="792">
      <c r="A792" s="425"/>
    </row>
    <row r="793">
      <c r="A793" s="425"/>
    </row>
    <row r="794">
      <c r="A794" s="425"/>
    </row>
    <row r="795">
      <c r="A795" s="425"/>
    </row>
    <row r="796">
      <c r="A796" s="425"/>
    </row>
    <row r="797">
      <c r="A797" s="425"/>
    </row>
    <row r="798">
      <c r="A798" s="425"/>
    </row>
    <row r="799">
      <c r="A799" s="425"/>
    </row>
    <row r="800">
      <c r="A800" s="425"/>
    </row>
    <row r="801">
      <c r="A801" s="425"/>
    </row>
    <row r="802">
      <c r="A802" s="425"/>
    </row>
    <row r="803">
      <c r="A803" s="425"/>
    </row>
    <row r="804">
      <c r="A804" s="425"/>
    </row>
    <row r="805">
      <c r="A805" s="425"/>
    </row>
    <row r="806">
      <c r="A806" s="425"/>
    </row>
    <row r="807">
      <c r="A807" s="425"/>
    </row>
    <row r="808">
      <c r="A808" s="425"/>
    </row>
    <row r="809">
      <c r="A809" s="425"/>
    </row>
    <row r="810">
      <c r="A810" s="425"/>
    </row>
    <row r="811">
      <c r="A811" s="425"/>
    </row>
    <row r="812">
      <c r="A812" s="425"/>
    </row>
    <row r="813">
      <c r="A813" s="425"/>
    </row>
    <row r="814">
      <c r="A814" s="425"/>
    </row>
    <row r="815">
      <c r="A815" s="425"/>
    </row>
    <row r="816">
      <c r="A816" s="425"/>
    </row>
    <row r="817">
      <c r="A817" s="425"/>
    </row>
    <row r="818">
      <c r="A818" s="425"/>
    </row>
    <row r="819">
      <c r="A819" s="425"/>
    </row>
    <row r="820">
      <c r="A820" s="425"/>
    </row>
    <row r="821">
      <c r="A821" s="425"/>
    </row>
    <row r="822">
      <c r="A822" s="425"/>
    </row>
    <row r="823">
      <c r="A823" s="425"/>
    </row>
    <row r="824">
      <c r="A824" s="425"/>
    </row>
    <row r="825">
      <c r="A825" s="425"/>
    </row>
    <row r="826">
      <c r="A826" s="425"/>
    </row>
    <row r="827">
      <c r="A827" s="425"/>
    </row>
    <row r="828">
      <c r="A828" s="425"/>
    </row>
    <row r="829">
      <c r="A829" s="425"/>
    </row>
    <row r="830">
      <c r="A830" s="425"/>
    </row>
    <row r="831">
      <c r="A831" s="425"/>
    </row>
    <row r="832">
      <c r="A832" s="425"/>
    </row>
    <row r="833">
      <c r="A833" s="425"/>
    </row>
    <row r="834">
      <c r="A834" s="425"/>
    </row>
    <row r="835">
      <c r="A835" s="425"/>
    </row>
    <row r="836">
      <c r="A836" s="425"/>
    </row>
    <row r="837">
      <c r="A837" s="425"/>
    </row>
    <row r="838">
      <c r="A838" s="425"/>
    </row>
    <row r="839">
      <c r="A839" s="425"/>
    </row>
    <row r="840">
      <c r="A840" s="425"/>
    </row>
    <row r="841">
      <c r="A841" s="425"/>
    </row>
    <row r="842">
      <c r="A842" s="425"/>
    </row>
    <row r="843">
      <c r="A843" s="425"/>
    </row>
    <row r="844">
      <c r="A844" s="425"/>
    </row>
    <row r="845">
      <c r="A845" s="425"/>
    </row>
    <row r="846">
      <c r="A846" s="425"/>
    </row>
    <row r="847">
      <c r="A847" s="425"/>
    </row>
    <row r="848">
      <c r="A848" s="425"/>
    </row>
    <row r="849">
      <c r="A849" s="425"/>
    </row>
    <row r="850">
      <c r="A850" s="425"/>
    </row>
    <row r="851">
      <c r="A851" s="425"/>
    </row>
    <row r="852">
      <c r="A852" s="425"/>
    </row>
    <row r="853">
      <c r="A853" s="425"/>
    </row>
    <row r="854">
      <c r="A854" s="425"/>
    </row>
    <row r="855">
      <c r="A855" s="425"/>
    </row>
    <row r="856">
      <c r="A856" s="425"/>
    </row>
    <row r="857">
      <c r="A857" s="425"/>
    </row>
    <row r="858">
      <c r="A858" s="425"/>
    </row>
    <row r="859">
      <c r="A859" s="425"/>
    </row>
    <row r="860">
      <c r="A860" s="425"/>
    </row>
    <row r="861">
      <c r="A861" s="425"/>
    </row>
    <row r="862">
      <c r="A862" s="425"/>
    </row>
    <row r="863">
      <c r="A863" s="425"/>
    </row>
    <row r="864">
      <c r="A864" s="425"/>
    </row>
    <row r="865">
      <c r="A865" s="425"/>
    </row>
    <row r="866">
      <c r="A866" s="425"/>
    </row>
    <row r="867">
      <c r="A867" s="425"/>
    </row>
    <row r="868">
      <c r="A868" s="425"/>
    </row>
    <row r="869">
      <c r="A869" s="425"/>
    </row>
    <row r="870">
      <c r="A870" s="425"/>
    </row>
    <row r="871">
      <c r="A871" s="425"/>
    </row>
    <row r="872">
      <c r="A872" s="425"/>
    </row>
    <row r="873">
      <c r="A873" s="425"/>
    </row>
    <row r="874">
      <c r="A874" s="425"/>
    </row>
    <row r="875">
      <c r="A875" s="425"/>
    </row>
    <row r="876">
      <c r="A876" s="425"/>
    </row>
    <row r="877">
      <c r="A877" s="425"/>
    </row>
    <row r="878">
      <c r="A878" s="425"/>
    </row>
    <row r="879">
      <c r="A879" s="425"/>
    </row>
    <row r="880">
      <c r="A880" s="425"/>
    </row>
    <row r="881">
      <c r="A881" s="425"/>
    </row>
    <row r="882">
      <c r="A882" s="425"/>
    </row>
    <row r="883">
      <c r="A883" s="425"/>
    </row>
    <row r="884">
      <c r="A884" s="425"/>
    </row>
    <row r="885">
      <c r="A885" s="425"/>
    </row>
    <row r="886">
      <c r="A886" s="425"/>
    </row>
    <row r="887">
      <c r="A887" s="425"/>
    </row>
    <row r="888">
      <c r="A888" s="425"/>
    </row>
    <row r="889">
      <c r="A889" s="425"/>
    </row>
    <row r="890">
      <c r="A890" s="425"/>
    </row>
    <row r="891">
      <c r="A891" s="425"/>
    </row>
    <row r="892">
      <c r="A892" s="425"/>
    </row>
    <row r="893">
      <c r="A893" s="425"/>
    </row>
    <row r="894">
      <c r="A894" s="425"/>
    </row>
    <row r="895">
      <c r="A895" s="425"/>
    </row>
    <row r="896">
      <c r="A896" s="425"/>
    </row>
    <row r="897">
      <c r="A897" s="425"/>
    </row>
    <row r="898">
      <c r="A898" s="425"/>
    </row>
    <row r="899">
      <c r="A899" s="425"/>
    </row>
    <row r="900">
      <c r="A900" s="425"/>
    </row>
    <row r="901">
      <c r="A901" s="425"/>
    </row>
    <row r="902">
      <c r="A902" s="425"/>
    </row>
    <row r="903">
      <c r="A903" s="425"/>
    </row>
    <row r="904">
      <c r="A904" s="425"/>
    </row>
    <row r="905">
      <c r="A905" s="425"/>
    </row>
    <row r="906">
      <c r="A906" s="425"/>
    </row>
    <row r="907">
      <c r="A907" s="425"/>
    </row>
    <row r="908">
      <c r="A908" s="425"/>
    </row>
    <row r="909">
      <c r="A909" s="425"/>
    </row>
    <row r="910">
      <c r="A910" s="425"/>
    </row>
    <row r="911">
      <c r="A911" s="425"/>
    </row>
    <row r="912">
      <c r="A912" s="425"/>
    </row>
    <row r="913">
      <c r="A913" s="425"/>
    </row>
    <row r="914">
      <c r="A914" s="425"/>
    </row>
    <row r="915">
      <c r="A915" s="425"/>
    </row>
    <row r="916">
      <c r="A916" s="425"/>
    </row>
    <row r="917">
      <c r="A917" s="425"/>
    </row>
    <row r="918">
      <c r="A918" s="425"/>
    </row>
    <row r="919">
      <c r="A919" s="425"/>
    </row>
    <row r="920">
      <c r="A920" s="425"/>
    </row>
    <row r="921">
      <c r="A921" s="425"/>
    </row>
    <row r="922">
      <c r="A922" s="425"/>
    </row>
    <row r="923">
      <c r="A923" s="425"/>
    </row>
    <row r="924">
      <c r="A924" s="425"/>
    </row>
    <row r="925">
      <c r="A925" s="425"/>
    </row>
    <row r="926">
      <c r="A926" s="425"/>
    </row>
    <row r="927">
      <c r="A927" s="425"/>
    </row>
    <row r="928">
      <c r="A928" s="425"/>
    </row>
    <row r="929">
      <c r="A929" s="425"/>
    </row>
    <row r="930">
      <c r="A930" s="425"/>
    </row>
    <row r="931">
      <c r="A931" s="425"/>
    </row>
    <row r="932">
      <c r="A932" s="425"/>
    </row>
    <row r="933">
      <c r="A933" s="425"/>
    </row>
    <row r="934">
      <c r="A934" s="425"/>
    </row>
    <row r="935">
      <c r="A935" s="425"/>
    </row>
    <row r="936">
      <c r="A936" s="425"/>
    </row>
    <row r="937">
      <c r="A937" s="425"/>
    </row>
    <row r="938">
      <c r="A938" s="425"/>
    </row>
    <row r="939">
      <c r="A939" s="425"/>
    </row>
    <row r="940">
      <c r="A940" s="425"/>
    </row>
    <row r="941">
      <c r="A941" s="425"/>
    </row>
    <row r="942">
      <c r="A942" s="425"/>
    </row>
    <row r="943">
      <c r="A943" s="425"/>
    </row>
    <row r="944">
      <c r="A944" s="425"/>
    </row>
    <row r="945">
      <c r="A945" s="425"/>
    </row>
    <row r="946">
      <c r="A946" s="425"/>
    </row>
    <row r="947">
      <c r="A947" s="425"/>
    </row>
    <row r="948">
      <c r="A948" s="425"/>
    </row>
    <row r="949">
      <c r="A949" s="425"/>
    </row>
    <row r="950">
      <c r="A950" s="425"/>
    </row>
    <row r="951">
      <c r="A951" s="425"/>
    </row>
    <row r="952">
      <c r="A952" s="425"/>
    </row>
    <row r="953">
      <c r="A953" s="425"/>
    </row>
    <row r="954">
      <c r="A954" s="425"/>
    </row>
    <row r="955">
      <c r="A955" s="425"/>
    </row>
    <row r="956">
      <c r="A956" s="425"/>
    </row>
    <row r="957">
      <c r="A957" s="425"/>
    </row>
    <row r="958">
      <c r="A958" s="425"/>
    </row>
    <row r="959">
      <c r="A959" s="425"/>
    </row>
    <row r="960">
      <c r="A960" s="425"/>
    </row>
    <row r="961">
      <c r="A961" s="425"/>
    </row>
    <row r="962">
      <c r="A962" s="425"/>
    </row>
    <row r="963">
      <c r="A963" s="425"/>
    </row>
    <row r="964">
      <c r="A964" s="425"/>
    </row>
    <row r="965">
      <c r="A965" s="425"/>
    </row>
    <row r="966">
      <c r="A966" s="425"/>
    </row>
    <row r="967">
      <c r="A967" s="425"/>
    </row>
    <row r="968">
      <c r="A968" s="425"/>
    </row>
    <row r="969">
      <c r="A969" s="425"/>
    </row>
    <row r="970">
      <c r="A970" s="425"/>
    </row>
    <row r="971">
      <c r="A971" s="425"/>
    </row>
    <row r="972">
      <c r="A972" s="425"/>
    </row>
    <row r="973">
      <c r="A973" s="425"/>
    </row>
    <row r="974">
      <c r="A974" s="425"/>
    </row>
    <row r="975">
      <c r="A975" s="425"/>
    </row>
    <row r="976">
      <c r="A976" s="425"/>
    </row>
    <row r="977">
      <c r="A977" s="425"/>
    </row>
    <row r="978">
      <c r="A978" s="425"/>
    </row>
    <row r="979">
      <c r="A979" s="425"/>
    </row>
    <row r="980">
      <c r="A980" s="425"/>
    </row>
    <row r="981">
      <c r="A981" s="425"/>
    </row>
    <row r="982">
      <c r="A982" s="425"/>
    </row>
    <row r="983">
      <c r="A983" s="425"/>
    </row>
    <row r="984">
      <c r="A984" s="425"/>
    </row>
    <row r="985">
      <c r="A985" s="425"/>
    </row>
    <row r="986">
      <c r="A986" s="425"/>
    </row>
    <row r="987">
      <c r="A987" s="425"/>
    </row>
    <row r="988">
      <c r="A988" s="425"/>
    </row>
    <row r="989">
      <c r="A989" s="425"/>
    </row>
    <row r="990">
      <c r="A990" s="425"/>
    </row>
    <row r="991">
      <c r="A991" s="425"/>
    </row>
    <row r="992">
      <c r="A992" s="425"/>
    </row>
    <row r="993">
      <c r="A993" s="425"/>
    </row>
    <row r="994">
      <c r="A994" s="425"/>
    </row>
    <row r="995">
      <c r="A995" s="425"/>
    </row>
    <row r="996">
      <c r="A996" s="425"/>
    </row>
    <row r="997">
      <c r="A997" s="425"/>
    </row>
    <row r="998">
      <c r="A998" s="425"/>
    </row>
    <row r="999">
      <c r="A999" s="425"/>
    </row>
    <row r="1000">
      <c r="A1000" s="425"/>
    </row>
  </sheetData>
  <mergeCells count="2">
    <mergeCell ref="B36:J36"/>
    <mergeCell ref="K36:S36"/>
  </mergeCells>
  <printOptions/>
  <pageMargins bottom="0.75" footer="0.0" header="0.0" left="0.7" right="0.7" top="0.75"/>
  <pageSetup paperSize="9" orientation="portrait"/>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41.56"/>
    <col customWidth="1" min="2" max="2" width="20.44"/>
    <col customWidth="1" min="3" max="3" width="20.33"/>
    <col customWidth="1" min="4" max="4" width="11.0"/>
    <col customWidth="1" min="5" max="5" width="15.44"/>
    <col customWidth="1" min="6" max="6" width="11.33"/>
    <col customWidth="1" min="7" max="26" width="11.0"/>
  </cols>
  <sheetData>
    <row r="1" ht="31.5" customHeight="1">
      <c r="A1" s="597" t="s">
        <v>848</v>
      </c>
      <c r="B1" s="1049"/>
      <c r="C1" s="1049" t="s">
        <v>853</v>
      </c>
      <c r="D1" s="1049" t="s">
        <v>58</v>
      </c>
      <c r="E1" s="1049"/>
      <c r="F1" s="2"/>
      <c r="G1" s="2"/>
      <c r="H1" s="2"/>
      <c r="I1" s="2"/>
      <c r="J1" s="2"/>
      <c r="K1" s="2"/>
    </row>
    <row r="2" ht="31.5" customHeight="1">
      <c r="A2" s="597" t="s">
        <v>855</v>
      </c>
      <c r="B2" s="1049"/>
      <c r="C2" s="1049"/>
      <c r="D2" s="1049"/>
      <c r="E2" s="1049"/>
      <c r="F2" s="2"/>
      <c r="G2" s="2"/>
      <c r="H2" s="2"/>
      <c r="I2" s="2"/>
      <c r="J2" s="2"/>
      <c r="K2" s="2"/>
    </row>
    <row r="3">
      <c r="A3" s="118" t="s">
        <v>858</v>
      </c>
      <c r="B3" s="1050">
        <v>11630.0</v>
      </c>
      <c r="C3" s="282" t="s">
        <v>860</v>
      </c>
      <c r="D3" s="282"/>
      <c r="E3" s="282"/>
    </row>
    <row r="4">
      <c r="A4" s="118" t="s">
        <v>863</v>
      </c>
      <c r="B4" s="1050">
        <f>kwhPerToe*1000</f>
        <v>11630000</v>
      </c>
      <c r="C4" s="282"/>
      <c r="D4" s="282"/>
      <c r="E4" s="282"/>
    </row>
    <row r="5">
      <c r="A5" s="282" t="s">
        <v>864</v>
      </c>
      <c r="B5" s="1051">
        <v>0.183</v>
      </c>
      <c r="C5" s="282" t="s">
        <v>866</v>
      </c>
      <c r="D5" s="282" t="s">
        <v>868</v>
      </c>
      <c r="E5" s="282"/>
      <c r="F5" s="98" t="s">
        <v>870</v>
      </c>
    </row>
    <row r="6">
      <c r="A6" s="282"/>
      <c r="B6" s="282">
        <f>B5*1000</f>
        <v>183</v>
      </c>
      <c r="C6" s="282" t="s">
        <v>873</v>
      </c>
      <c r="D6" s="282"/>
      <c r="E6" s="282"/>
    </row>
    <row r="7">
      <c r="A7" s="282" t="s">
        <v>874</v>
      </c>
      <c r="B7" s="282">
        <v>0.177</v>
      </c>
      <c r="C7" s="282" t="s">
        <v>866</v>
      </c>
      <c r="D7" s="282" t="s">
        <v>868</v>
      </c>
      <c r="E7" s="282"/>
      <c r="F7" s="98" t="s">
        <v>875</v>
      </c>
    </row>
    <row r="8">
      <c r="A8" s="282" t="s">
        <v>876</v>
      </c>
      <c r="B8" s="282">
        <v>0.27</v>
      </c>
      <c r="C8" s="282" t="s">
        <v>866</v>
      </c>
      <c r="D8" s="282" t="s">
        <v>868</v>
      </c>
      <c r="E8" s="282"/>
    </row>
    <row r="9">
      <c r="A9" s="282"/>
      <c r="B9" s="282"/>
      <c r="C9" s="282"/>
      <c r="D9" s="282"/>
      <c r="E9" s="282"/>
    </row>
    <row r="10">
      <c r="A10" s="597" t="s">
        <v>880</v>
      </c>
      <c r="B10" s="1049"/>
      <c r="C10" s="1049"/>
      <c r="D10" s="1052" t="s">
        <v>884</v>
      </c>
      <c r="E10" s="1049"/>
      <c r="F10" s="2"/>
      <c r="G10" s="2"/>
      <c r="H10" s="2"/>
      <c r="I10" s="2"/>
      <c r="J10" s="2"/>
      <c r="K10" s="2"/>
    </row>
    <row r="11">
      <c r="A11" s="282" t="s">
        <v>888</v>
      </c>
      <c r="B11" s="98">
        <v>10.3</v>
      </c>
      <c r="C11" s="282" t="s">
        <v>889</v>
      </c>
      <c r="D11" s="98" t="str">
        <f>SelectedPricePeriod</f>
        <v>Oct-Dec 2026</v>
      </c>
    </row>
    <row r="12">
      <c r="A12" s="282" t="s">
        <v>897</v>
      </c>
      <c r="B12" s="1054">
        <v>34.0</v>
      </c>
      <c r="C12" s="282" t="s">
        <v>889</v>
      </c>
      <c r="D12" s="98" t="str">
        <f>SelectedPricePeriod</f>
        <v>Oct-Dec 2026</v>
      </c>
    </row>
    <row r="13">
      <c r="A13" s="282" t="s">
        <v>901</v>
      </c>
      <c r="B13" s="1055">
        <v>34.0</v>
      </c>
      <c r="C13" s="282" t="s">
        <v>889</v>
      </c>
      <c r="D13" s="282" t="s">
        <v>776</v>
      </c>
    </row>
    <row r="14">
      <c r="A14" s="282" t="s">
        <v>904</v>
      </c>
      <c r="B14" s="98">
        <v>100.0</v>
      </c>
      <c r="C14" s="282" t="s">
        <v>906</v>
      </c>
      <c r="D14" s="282" t="s">
        <v>885</v>
      </c>
      <c r="E14" s="282" t="s">
        <v>908</v>
      </c>
    </row>
    <row r="15">
      <c r="A15" s="282"/>
      <c r="B15" s="270">
        <f>B14/10.35</f>
        <v>9.661835749</v>
      </c>
      <c r="C15" s="282" t="s">
        <v>889</v>
      </c>
    </row>
    <row r="16">
      <c r="A16" s="597" t="s">
        <v>915</v>
      </c>
      <c r="B16" s="1049"/>
      <c r="C16" s="1049"/>
      <c r="D16" s="1049"/>
      <c r="E16" s="1049"/>
      <c r="F16" s="2"/>
      <c r="G16" s="2"/>
      <c r="H16" s="2"/>
      <c r="I16" s="2"/>
      <c r="J16" s="2"/>
      <c r="K16" s="2"/>
    </row>
    <row r="17">
      <c r="A17" s="118" t="s">
        <v>921</v>
      </c>
      <c r="B17" s="1061">
        <f>C89+C98+C106+C114</f>
        <v>69200000</v>
      </c>
      <c r="C17" s="282"/>
      <c r="D17" s="282" t="s">
        <v>932</v>
      </c>
      <c r="E17" s="282"/>
    </row>
    <row r="18">
      <c r="A18" s="118" t="s">
        <v>933</v>
      </c>
      <c r="B18" s="1061">
        <f>C89</f>
        <v>58600000</v>
      </c>
      <c r="C18" s="282"/>
      <c r="D18" s="282" t="s">
        <v>932</v>
      </c>
      <c r="E18" s="282"/>
    </row>
    <row r="19">
      <c r="A19" s="282" t="s">
        <v>942</v>
      </c>
      <c r="B19" s="1064">
        <f>C123</f>
        <v>30651800</v>
      </c>
      <c r="C19" s="282"/>
      <c r="D19" s="282" t="s">
        <v>153</v>
      </c>
      <c r="E19" s="282"/>
    </row>
    <row r="20">
      <c r="A20" s="282" t="s">
        <v>948</v>
      </c>
      <c r="B20" s="1067">
        <f>C98</f>
        <v>5500000</v>
      </c>
      <c r="C20" s="282"/>
      <c r="D20" s="282" t="s">
        <v>932</v>
      </c>
      <c r="E20" s="282"/>
    </row>
    <row r="21">
      <c r="A21" s="282" t="s">
        <v>955</v>
      </c>
      <c r="B21" s="1067">
        <f>C106</f>
        <v>3200000</v>
      </c>
      <c r="C21" s="282"/>
      <c r="D21" s="282" t="s">
        <v>932</v>
      </c>
      <c r="E21" s="282"/>
    </row>
    <row r="22">
      <c r="A22" s="282" t="s">
        <v>963</v>
      </c>
      <c r="B22" s="1068">
        <f>C114</f>
        <v>1900000</v>
      </c>
      <c r="C22" s="282"/>
      <c r="D22" s="282" t="s">
        <v>932</v>
      </c>
      <c r="E22" s="282"/>
    </row>
    <row r="23">
      <c r="A23" s="118" t="s">
        <v>971</v>
      </c>
      <c r="B23" s="1069">
        <v>29000.0</v>
      </c>
      <c r="D23" s="98" t="s">
        <v>975</v>
      </c>
    </row>
    <row r="24">
      <c r="A24" s="118" t="s">
        <v>977</v>
      </c>
      <c r="B24" s="1069">
        <v>8225.0</v>
      </c>
      <c r="D24" s="98" t="s">
        <v>975</v>
      </c>
    </row>
    <row r="25">
      <c r="A25" s="118" t="s">
        <v>980</v>
      </c>
      <c r="B25" s="1069">
        <v>8570.0</v>
      </c>
      <c r="D25" s="98" t="s">
        <v>975</v>
      </c>
    </row>
    <row r="26">
      <c r="A26" s="118" t="s">
        <v>984</v>
      </c>
      <c r="B26" s="1069">
        <v>4254.0</v>
      </c>
      <c r="D26" s="98" t="s">
        <v>975</v>
      </c>
    </row>
    <row r="27">
      <c r="A27" s="118" t="s">
        <v>985</v>
      </c>
      <c r="B27" s="290">
        <f>B26/B23</f>
        <v>0.1466896552</v>
      </c>
      <c r="D27" s="98" t="s">
        <v>153</v>
      </c>
    </row>
    <row r="28">
      <c r="A28" s="118" t="s">
        <v>992</v>
      </c>
      <c r="B28" s="290">
        <f>1-(B24/B23)</f>
        <v>0.7163793103</v>
      </c>
      <c r="D28" s="98" t="s">
        <v>153</v>
      </c>
    </row>
    <row r="29">
      <c r="A29" s="118" t="s">
        <v>1001</v>
      </c>
      <c r="B29" s="290">
        <f>B28/4</f>
        <v>0.1790948276</v>
      </c>
      <c r="D29" s="98" t="s">
        <v>153</v>
      </c>
      <c r="E29" s="98" t="s">
        <v>1007</v>
      </c>
    </row>
    <row r="30">
      <c r="A30" s="118" t="s">
        <v>1008</v>
      </c>
      <c r="B30" s="290" t="s">
        <v>5</v>
      </c>
      <c r="C30" s="98" t="s">
        <v>7</v>
      </c>
      <c r="D30" s="98" t="s">
        <v>113</v>
      </c>
    </row>
    <row r="31">
      <c r="A31" s="118"/>
      <c r="B31" s="290">
        <f>(B27 + B29) - (B27 * B29)</f>
        <v>0.2995131243</v>
      </c>
      <c r="C31" s="290">
        <f>B27+B29</f>
        <v>0.3257844828</v>
      </c>
      <c r="D31" s="290">
        <f>(B31+C31)/2</f>
        <v>0.3126488035</v>
      </c>
      <c r="F31" s="98" t="s">
        <v>1027</v>
      </c>
    </row>
    <row r="32">
      <c r="A32" s="282"/>
      <c r="B32" s="1075"/>
      <c r="C32" s="282"/>
      <c r="D32" s="282"/>
      <c r="E32" s="282"/>
    </row>
    <row r="33">
      <c r="A33" s="90" t="s">
        <v>1033</v>
      </c>
      <c r="B33" s="2"/>
      <c r="C33" s="2"/>
      <c r="D33" s="2"/>
      <c r="E33" s="2"/>
      <c r="F33" s="2"/>
      <c r="G33" s="2"/>
      <c r="H33" s="2"/>
      <c r="I33" s="2"/>
      <c r="J33" s="2"/>
      <c r="K33" s="2"/>
    </row>
    <row r="34">
      <c r="A34" s="118" t="s">
        <v>1036</v>
      </c>
      <c r="B34" s="1077">
        <v>21753.64</v>
      </c>
      <c r="C34" s="98" t="s">
        <v>1039</v>
      </c>
      <c r="D34" s="98" t="s">
        <v>909</v>
      </c>
      <c r="E34" s="98" t="s">
        <v>1040</v>
      </c>
    </row>
    <row r="35">
      <c r="A35" s="118" t="s">
        <v>1036</v>
      </c>
      <c r="B35" s="187">
        <f>B34*kwhPerKtoe</f>
        <v>252994833200</v>
      </c>
      <c r="C35" s="98" t="s">
        <v>93</v>
      </c>
      <c r="D35" s="98" t="s">
        <v>153</v>
      </c>
      <c r="E35" s="98"/>
    </row>
    <row r="36" ht="18.0" customHeight="1">
      <c r="A36" s="118" t="s">
        <v>1050</v>
      </c>
      <c r="B36" s="1077">
        <v>16298.72512325065</v>
      </c>
      <c r="C36" s="98" t="s">
        <v>1039</v>
      </c>
      <c r="D36" s="98" t="s">
        <v>909</v>
      </c>
      <c r="E36" s="98" t="s">
        <v>1040</v>
      </c>
    </row>
    <row r="37">
      <c r="A37" s="118" t="s">
        <v>1036</v>
      </c>
      <c r="B37" s="187">
        <f>B36*kwhPerKtoe</f>
        <v>189554173183</v>
      </c>
      <c r="C37" s="98" t="s">
        <v>93</v>
      </c>
      <c r="D37" s="98" t="s">
        <v>153</v>
      </c>
      <c r="E37" s="98"/>
    </row>
    <row r="38">
      <c r="A38" s="118" t="s">
        <v>1067</v>
      </c>
      <c r="B38" s="187">
        <f>C124</f>
        <v>25616678.4</v>
      </c>
      <c r="C38" s="98"/>
      <c r="D38" s="98" t="s">
        <v>1069</v>
      </c>
      <c r="E38" s="98"/>
    </row>
    <row r="39">
      <c r="A39" s="118" t="s">
        <v>1070</v>
      </c>
      <c r="B39" s="187">
        <f>TotalDomesticGasKwh/TotalGasBoilers</f>
        <v>9876.176343</v>
      </c>
      <c r="C39" s="98" t="s">
        <v>93</v>
      </c>
      <c r="D39" s="98" t="s">
        <v>153</v>
      </c>
      <c r="E39" s="98"/>
      <c r="F39" s="26" t="s">
        <v>1073</v>
      </c>
      <c r="K39" s="98" t="s">
        <v>1074</v>
      </c>
    </row>
    <row r="40">
      <c r="A40" s="118" t="s">
        <v>1075</v>
      </c>
      <c r="B40" s="187">
        <v>11734.0</v>
      </c>
      <c r="C40" s="98" t="s">
        <v>93</v>
      </c>
      <c r="D40" s="98" t="s">
        <v>898</v>
      </c>
      <c r="E40" s="98"/>
      <c r="F40" s="26"/>
    </row>
    <row r="41">
      <c r="A41" s="118" t="s">
        <v>1078</v>
      </c>
      <c r="B41" s="290">
        <f>B36/B34</f>
        <v>0.7492412821</v>
      </c>
      <c r="C41" s="98" t="s">
        <v>93</v>
      </c>
      <c r="D41" s="98" t="s">
        <v>153</v>
      </c>
      <c r="E41" s="98"/>
    </row>
    <row r="42">
      <c r="A42" s="118" t="s">
        <v>1081</v>
      </c>
      <c r="B42" s="290">
        <v>0.32</v>
      </c>
      <c r="C42" s="98" t="s">
        <v>1083</v>
      </c>
      <c r="D42" s="98"/>
      <c r="E42" s="98"/>
    </row>
    <row r="43">
      <c r="A43" s="118" t="s">
        <v>1086</v>
      </c>
      <c r="B43" s="290">
        <f>C124/C123</f>
        <v>0.8357316177</v>
      </c>
      <c r="C43" s="98"/>
      <c r="D43" s="98" t="s">
        <v>153</v>
      </c>
      <c r="E43" s="98"/>
    </row>
    <row r="44">
      <c r="A44" s="118" t="s">
        <v>1096</v>
      </c>
      <c r="B44" s="290">
        <f>propHomesGasHeating*propGasRegular</f>
        <v>0.2674341177</v>
      </c>
      <c r="C44" s="98"/>
      <c r="D44" s="98" t="s">
        <v>153</v>
      </c>
      <c r="E44" s="98"/>
    </row>
    <row r="45">
      <c r="A45" s="118" t="s">
        <v>1100</v>
      </c>
      <c r="B45" s="290">
        <f>propHomesGasHeating-B44</f>
        <v>0.5682975</v>
      </c>
      <c r="C45" s="98"/>
      <c r="D45" s="98" t="s">
        <v>153</v>
      </c>
      <c r="E45" s="187">
        <f>propHomesGasCombi*numberDwellingsUK</f>
        <v>17419341.31</v>
      </c>
    </row>
    <row r="46">
      <c r="A46" s="118"/>
      <c r="B46" s="98"/>
      <c r="C46" s="98"/>
      <c r="D46" s="98"/>
      <c r="E46" s="98"/>
    </row>
    <row r="47">
      <c r="A47" s="90" t="s">
        <v>1103</v>
      </c>
      <c r="B47" s="2"/>
      <c r="C47" s="2"/>
      <c r="D47" s="2"/>
      <c r="E47" s="2"/>
      <c r="F47" s="2"/>
      <c r="G47" s="2"/>
      <c r="H47" s="2"/>
      <c r="I47" s="2"/>
      <c r="J47" s="2"/>
      <c r="K47" s="2"/>
    </row>
    <row r="48">
      <c r="A48" s="425" t="s">
        <v>1104</v>
      </c>
      <c r="B48" s="1087">
        <v>2335.0</v>
      </c>
      <c r="C48" s="98" t="s">
        <v>1039</v>
      </c>
      <c r="D48" s="98" t="s">
        <v>912</v>
      </c>
      <c r="E48" s="98" t="s">
        <v>1107</v>
      </c>
    </row>
    <row r="49">
      <c r="A49" s="425"/>
      <c r="B49" s="378">
        <f>B48*kwhPerKtoe</f>
        <v>27156050000</v>
      </c>
      <c r="C49" s="98" t="s">
        <v>93</v>
      </c>
      <c r="D49" s="98"/>
      <c r="E49" s="98"/>
    </row>
    <row r="50">
      <c r="A50" s="118" t="s">
        <v>1109</v>
      </c>
      <c r="B50" s="378">
        <v>1881.0</v>
      </c>
      <c r="C50" s="98" t="s">
        <v>1039</v>
      </c>
      <c r="D50" s="98" t="s">
        <v>912</v>
      </c>
      <c r="E50" s="98" t="s">
        <v>1107</v>
      </c>
    </row>
    <row r="51">
      <c r="A51" s="118" t="s">
        <v>1104</v>
      </c>
      <c r="B51" s="1088">
        <f>B50*kwhPerKtoe</f>
        <v>21876030000</v>
      </c>
      <c r="C51" s="98" t="s">
        <v>93</v>
      </c>
      <c r="D51" s="1089"/>
      <c r="E51" s="98"/>
    </row>
    <row r="52">
      <c r="A52" s="118" t="s">
        <v>1110</v>
      </c>
      <c r="B52" s="187">
        <f>C125</f>
        <v>1637095</v>
      </c>
      <c r="C52" s="98"/>
      <c r="D52" s="98"/>
      <c r="E52" s="98"/>
    </row>
    <row r="53">
      <c r="A53" s="118" t="s">
        <v>1111</v>
      </c>
      <c r="B53" s="290">
        <f>numberHomesOilHeating/numberDwellingsUK</f>
        <v>0.05340942457</v>
      </c>
      <c r="C53" s="98"/>
      <c r="D53" s="98"/>
      <c r="E53" s="98"/>
    </row>
    <row r="54">
      <c r="A54" s="118" t="s">
        <v>1112</v>
      </c>
      <c r="B54" s="187">
        <f>B49/numberHomesOilHeating</f>
        <v>16587.95</v>
      </c>
      <c r="C54" s="98" t="s">
        <v>93</v>
      </c>
      <c r="D54" s="98" t="s">
        <v>1113</v>
      </c>
      <c r="E54" s="98"/>
    </row>
    <row r="55">
      <c r="A55" s="118" t="s">
        <v>1114</v>
      </c>
      <c r="B55" s="1090">
        <v>19634.0</v>
      </c>
      <c r="C55" s="98" t="s">
        <v>93</v>
      </c>
      <c r="D55" s="98" t="s">
        <v>898</v>
      </c>
      <c r="E55" s="98"/>
      <c r="F55" s="26"/>
    </row>
    <row r="56">
      <c r="A56" s="118" t="s">
        <v>1115</v>
      </c>
      <c r="B56" s="290">
        <f>B50/B48</f>
        <v>0.8055674518</v>
      </c>
      <c r="C56" s="98"/>
      <c r="D56" s="98" t="s">
        <v>1116</v>
      </c>
      <c r="E56" s="98"/>
    </row>
    <row r="57">
      <c r="A57" s="118" t="s">
        <v>1117</v>
      </c>
      <c r="B57" s="1091">
        <v>0.78</v>
      </c>
      <c r="C57" s="98" t="s">
        <v>1083</v>
      </c>
      <c r="D57" s="98"/>
      <c r="E57" s="98"/>
    </row>
    <row r="58">
      <c r="A58" s="118"/>
      <c r="B58" s="432"/>
      <c r="C58" s="98"/>
      <c r="D58" s="98"/>
      <c r="E58" s="98"/>
    </row>
    <row r="59">
      <c r="A59" s="90" t="s">
        <v>1118</v>
      </c>
      <c r="B59" s="2"/>
      <c r="C59" s="2"/>
      <c r="D59" s="2"/>
      <c r="E59" s="2"/>
      <c r="F59" s="2"/>
      <c r="G59" s="2"/>
      <c r="H59" s="2"/>
      <c r="I59" s="2"/>
      <c r="J59" s="2"/>
      <c r="K59" s="2"/>
    </row>
    <row r="60">
      <c r="A60" s="118" t="s">
        <v>1119</v>
      </c>
      <c r="B60" s="1092">
        <v>1179.0</v>
      </c>
      <c r="C60" s="98" t="s">
        <v>1039</v>
      </c>
      <c r="D60" s="98" t="s">
        <v>912</v>
      </c>
      <c r="E60" s="98" t="s">
        <v>1107</v>
      </c>
    </row>
    <row r="61">
      <c r="A61" s="118" t="s">
        <v>1120</v>
      </c>
      <c r="B61" s="1092">
        <v>329.0</v>
      </c>
      <c r="C61" s="98" t="s">
        <v>1039</v>
      </c>
      <c r="D61" s="98" t="s">
        <v>912</v>
      </c>
      <c r="E61" s="98" t="s">
        <v>1107</v>
      </c>
    </row>
    <row r="62">
      <c r="A62" s="118" t="s">
        <v>1121</v>
      </c>
      <c r="B62" s="1088">
        <f>(B60+B61)*kwhPerKtoe</f>
        <v>17538040000</v>
      </c>
      <c r="C62" s="98" t="s">
        <v>93</v>
      </c>
      <c r="D62" s="98"/>
      <c r="E62" s="98"/>
    </row>
    <row r="63" ht="65.25" customHeight="1">
      <c r="A63" s="118" t="s">
        <v>1122</v>
      </c>
      <c r="B63" s="1091">
        <v>0.74</v>
      </c>
      <c r="C63" s="98"/>
      <c r="D63" s="98" t="s">
        <v>118</v>
      </c>
      <c r="E63" s="98" t="s">
        <v>1123</v>
      </c>
    </row>
    <row r="64">
      <c r="A64" s="118" t="s">
        <v>1124</v>
      </c>
      <c r="B64" s="1088">
        <f>TotalDomesticElecHeatingkwh*B63</f>
        <v>12978149600</v>
      </c>
      <c r="C64" s="98" t="s">
        <v>93</v>
      </c>
      <c r="D64" s="98"/>
      <c r="E64" s="98"/>
    </row>
    <row r="65">
      <c r="A65" s="118" t="s">
        <v>1125</v>
      </c>
      <c r="B65" s="1087">
        <f t="shared" ref="B65:B66" si="1">C126</f>
        <v>1436307.081</v>
      </c>
      <c r="C65" s="98"/>
      <c r="D65" s="98"/>
      <c r="E65" s="98"/>
    </row>
    <row r="66">
      <c r="A66" s="118" t="s">
        <v>1126</v>
      </c>
      <c r="B66" s="1087">
        <f t="shared" si="1"/>
        <v>900658.9189</v>
      </c>
      <c r="C66" s="98"/>
      <c r="D66" s="98"/>
      <c r="E66" s="98"/>
    </row>
    <row r="67">
      <c r="A67" s="118" t="s">
        <v>1127</v>
      </c>
      <c r="B67" s="1093">
        <f>numberHomesStorageHeater/numberDwellingsUK</f>
        <v>0.04685881681</v>
      </c>
      <c r="C67" s="98"/>
      <c r="D67" s="98"/>
      <c r="E67" s="98"/>
    </row>
    <row r="68">
      <c r="A68" s="118" t="s">
        <v>1128</v>
      </c>
      <c r="B68" s="1093">
        <f>numberHomesOtherElectricHeaters/numberDwellingsUK</f>
        <v>0.02938355721</v>
      </c>
      <c r="C68" s="98"/>
      <c r="D68" s="98"/>
      <c r="E68" s="98"/>
    </row>
    <row r="69">
      <c r="A69" s="118" t="s">
        <v>1129</v>
      </c>
      <c r="B69" s="1088">
        <f>B64/(B65+B66)</f>
        <v>5553.418235</v>
      </c>
      <c r="C69" s="98" t="s">
        <v>93</v>
      </c>
      <c r="D69" s="98" t="s">
        <v>1130</v>
      </c>
      <c r="E69" s="98" t="s">
        <v>1131</v>
      </c>
      <c r="F69" s="500"/>
      <c r="L69" s="98" t="s">
        <v>1132</v>
      </c>
    </row>
    <row r="70">
      <c r="A70" s="118" t="s">
        <v>1133</v>
      </c>
      <c r="B70" s="1094">
        <v>7544.0</v>
      </c>
      <c r="C70" s="98" t="s">
        <v>93</v>
      </c>
      <c r="D70" s="98" t="s">
        <v>898</v>
      </c>
      <c r="E70" s="98"/>
      <c r="F70" s="26"/>
    </row>
    <row r="71">
      <c r="A71" s="118" t="s">
        <v>1134</v>
      </c>
      <c r="B71" s="1088">
        <f>B64*B65/SUM(B65:B66)</f>
        <v>7976413936</v>
      </c>
      <c r="C71" s="98" t="s">
        <v>93</v>
      </c>
      <c r="D71" s="98"/>
      <c r="E71" s="98"/>
    </row>
    <row r="72">
      <c r="A72" s="118" t="s">
        <v>1135</v>
      </c>
      <c r="B72" s="1069">
        <f>B64*B66/SUM(B65:B66)</f>
        <v>5001735664</v>
      </c>
      <c r="C72" s="98" t="s">
        <v>93</v>
      </c>
      <c r="D72" s="98"/>
      <c r="E72" s="98"/>
    </row>
    <row r="73">
      <c r="A73" s="118"/>
      <c r="B73" s="1069"/>
      <c r="C73" s="98"/>
      <c r="D73" s="98"/>
      <c r="E73" s="98"/>
    </row>
    <row r="74">
      <c r="A74" s="116" t="s">
        <v>131</v>
      </c>
      <c r="B74" s="280" t="s">
        <v>133</v>
      </c>
      <c r="C74" s="280" t="s">
        <v>134</v>
      </c>
      <c r="D74" s="280" t="s">
        <v>135</v>
      </c>
      <c r="E74" s="2"/>
    </row>
    <row r="75">
      <c r="A75" s="199"/>
      <c r="B75" s="1095"/>
      <c r="C75" s="1095"/>
      <c r="D75" s="1095"/>
      <c r="E75" s="98"/>
    </row>
    <row r="76">
      <c r="A76" s="118" t="s">
        <v>138</v>
      </c>
      <c r="B76" s="524">
        <f>D76*0.85</f>
        <v>12433.8</v>
      </c>
      <c r="C76" s="524">
        <f>D76*1.26</f>
        <v>18431.28</v>
      </c>
      <c r="D76" s="524">
        <v>14628.0</v>
      </c>
      <c r="E76" s="98" t="s">
        <v>142</v>
      </c>
    </row>
    <row r="77">
      <c r="A77" s="118" t="s">
        <v>143</v>
      </c>
      <c r="B77" s="98">
        <v>11016.0</v>
      </c>
      <c r="C77" s="524">
        <v>16329.6</v>
      </c>
      <c r="D77" s="98">
        <v>12960.0</v>
      </c>
      <c r="E77" s="98" t="s">
        <v>142</v>
      </c>
    </row>
    <row r="78">
      <c r="A78" s="118" t="s">
        <v>146</v>
      </c>
      <c r="B78" s="524">
        <v>9631.35</v>
      </c>
      <c r="C78" s="524">
        <v>14277.06</v>
      </c>
      <c r="D78" s="524">
        <v>11331.0</v>
      </c>
      <c r="E78" s="98" t="s">
        <v>142</v>
      </c>
    </row>
    <row r="79">
      <c r="A79" s="118" t="s">
        <v>148</v>
      </c>
      <c r="B79" s="290">
        <v>0.9</v>
      </c>
      <c r="C79" s="290">
        <v>0.9</v>
      </c>
      <c r="D79" s="290">
        <v>0.9</v>
      </c>
      <c r="E79" s="98" t="s">
        <v>149</v>
      </c>
    </row>
    <row r="80">
      <c r="A80" s="199"/>
      <c r="B80" s="1095"/>
      <c r="C80" s="1095"/>
      <c r="D80" s="1095"/>
      <c r="E80" s="98"/>
    </row>
    <row r="81">
      <c r="A81" s="118" t="s">
        <v>1136</v>
      </c>
      <c r="B81" s="187">
        <f>NewTotalDomesticGasKwh+NewTotalDomesticOilkWh+TotalDomesticElecHeatingkwh</f>
        <v>297688923200</v>
      </c>
      <c r="C81" s="1095"/>
      <c r="D81" s="1095"/>
      <c r="E81" s="98"/>
    </row>
    <row r="82">
      <c r="A82" s="118" t="s">
        <v>1147</v>
      </c>
      <c r="B82" s="187">
        <f>B81/C95</f>
        <v>12062.73191</v>
      </c>
      <c r="C82" s="1095"/>
      <c r="D82" s="1095"/>
      <c r="E82" s="98"/>
    </row>
    <row r="83">
      <c r="A83" s="199"/>
      <c r="B83" s="1095"/>
      <c r="C83" s="1095"/>
      <c r="D83" s="1095"/>
      <c r="E83" s="98"/>
    </row>
    <row r="84">
      <c r="A84" s="199"/>
      <c r="B84" s="1095"/>
      <c r="C84" s="1095"/>
      <c r="D84" s="1095"/>
    </row>
    <row r="85">
      <c r="A85" s="199"/>
      <c r="B85" s="1095"/>
      <c r="C85" s="1095"/>
      <c r="D85" s="1095"/>
    </row>
    <row r="87">
      <c r="A87" s="1096" t="s">
        <v>1165</v>
      </c>
      <c r="B87" s="73"/>
      <c r="C87" s="73"/>
      <c r="D87" s="73"/>
      <c r="E87" s="73"/>
    </row>
    <row r="88">
      <c r="A88" s="199" t="s">
        <v>1174</v>
      </c>
    </row>
    <row r="89">
      <c r="A89" s="118" t="s">
        <v>1176</v>
      </c>
      <c r="C89" s="1061">
        <v>5.86E7</v>
      </c>
      <c r="E89" s="1051" t="s">
        <v>932</v>
      </c>
    </row>
    <row r="90">
      <c r="A90" s="98" t="s">
        <v>1180</v>
      </c>
      <c r="C90" s="1097">
        <v>2.56E7</v>
      </c>
      <c r="E90" s="1051" t="s">
        <v>973</v>
      </c>
    </row>
    <row r="91">
      <c r="A91" s="98" t="s">
        <v>1187</v>
      </c>
      <c r="B91" s="956">
        <v>0.86</v>
      </c>
      <c r="C91" s="187">
        <f t="shared" ref="C91:C94" si="2">B91*C$90</f>
        <v>22016000</v>
      </c>
      <c r="E91" s="98" t="s">
        <v>1198</v>
      </c>
    </row>
    <row r="92">
      <c r="A92" s="98" t="s">
        <v>1103</v>
      </c>
      <c r="B92" s="956">
        <v>0.03</v>
      </c>
      <c r="C92" s="187">
        <f t="shared" si="2"/>
        <v>768000</v>
      </c>
      <c r="E92" s="98" t="s">
        <v>1198</v>
      </c>
    </row>
    <row r="93">
      <c r="A93" s="98" t="s">
        <v>403</v>
      </c>
      <c r="B93" s="639">
        <v>0.044</v>
      </c>
      <c r="C93" s="187">
        <f t="shared" si="2"/>
        <v>1126400</v>
      </c>
      <c r="E93" s="98" t="s">
        <v>1198</v>
      </c>
    </row>
    <row r="94">
      <c r="A94" s="98" t="s">
        <v>410</v>
      </c>
      <c r="B94" s="639">
        <v>0.03</v>
      </c>
      <c r="C94" s="187">
        <f t="shared" si="2"/>
        <v>768000</v>
      </c>
      <c r="E94" s="98" t="s">
        <v>1198</v>
      </c>
      <c r="F94" s="98" t="s">
        <v>1215</v>
      </c>
    </row>
    <row r="95">
      <c r="A95" s="98" t="s">
        <v>351</v>
      </c>
      <c r="B95" s="639">
        <f t="shared" ref="B95:C95" si="3">SUM(B91:B94)</f>
        <v>0.964</v>
      </c>
      <c r="C95" s="524">
        <f t="shared" si="3"/>
        <v>24678400</v>
      </c>
      <c r="F95" s="98" t="s">
        <v>1224</v>
      </c>
    </row>
    <row r="96">
      <c r="B96" s="290"/>
    </row>
    <row r="97">
      <c r="A97" s="26" t="s">
        <v>1226</v>
      </c>
      <c r="B97" s="187"/>
      <c r="C97" s="187"/>
    </row>
    <row r="98">
      <c r="A98" s="118" t="s">
        <v>1176</v>
      </c>
      <c r="C98" s="1061">
        <v>5500000.0</v>
      </c>
      <c r="E98" s="1051" t="s">
        <v>932</v>
      </c>
    </row>
    <row r="99">
      <c r="A99" s="98" t="s">
        <v>1180</v>
      </c>
      <c r="C99" s="1097">
        <v>2730000.0</v>
      </c>
      <c r="E99" s="1051" t="s">
        <v>1041</v>
      </c>
    </row>
    <row r="100">
      <c r="A100" s="98" t="s">
        <v>1187</v>
      </c>
      <c r="B100" s="639">
        <v>0.801</v>
      </c>
      <c r="C100" s="187">
        <f t="shared" ref="C100:C103" si="4">B100*C$99</f>
        <v>2186730</v>
      </c>
      <c r="E100" s="98" t="s">
        <v>1242</v>
      </c>
    </row>
    <row r="101">
      <c r="A101" s="98" t="s">
        <v>1103</v>
      </c>
      <c r="B101" s="639">
        <v>0.056</v>
      </c>
      <c r="C101" s="187">
        <f t="shared" si="4"/>
        <v>152880</v>
      </c>
      <c r="E101" s="98" t="s">
        <v>1242</v>
      </c>
    </row>
    <row r="102">
      <c r="A102" s="98" t="s">
        <v>403</v>
      </c>
      <c r="B102" s="1098">
        <v>0.079</v>
      </c>
      <c r="C102" s="187">
        <f t="shared" si="4"/>
        <v>215670</v>
      </c>
      <c r="E102" s="98" t="s">
        <v>1242</v>
      </c>
    </row>
    <row r="103">
      <c r="A103" s="98" t="s">
        <v>410</v>
      </c>
      <c r="B103" s="1098">
        <v>0.029</v>
      </c>
      <c r="C103" s="187">
        <f t="shared" si="4"/>
        <v>79170</v>
      </c>
      <c r="E103" s="98" t="s">
        <v>1242</v>
      </c>
    </row>
    <row r="104">
      <c r="A104" s="98" t="s">
        <v>351</v>
      </c>
      <c r="B104" s="290">
        <f>SUM(B100:B103)</f>
        <v>0.965</v>
      </c>
      <c r="C104" s="524"/>
    </row>
    <row r="105">
      <c r="A105" s="26" t="s">
        <v>1264</v>
      </c>
      <c r="C105" s="187"/>
    </row>
    <row r="106">
      <c r="A106" s="118" t="s">
        <v>1176</v>
      </c>
      <c r="C106" s="1061">
        <v>3200000.0</v>
      </c>
      <c r="E106" s="1051" t="s">
        <v>932</v>
      </c>
      <c r="F106" s="98" t="s">
        <v>1270</v>
      </c>
    </row>
    <row r="107">
      <c r="A107" s="98" t="s">
        <v>1180</v>
      </c>
      <c r="C107" s="1099">
        <v>1480000.0</v>
      </c>
      <c r="E107" s="26" t="s">
        <v>1278</v>
      </c>
    </row>
    <row r="108">
      <c r="A108" s="98" t="s">
        <v>1187</v>
      </c>
      <c r="B108" s="956">
        <v>0.82</v>
      </c>
      <c r="C108" s="187">
        <f t="shared" ref="C108:C111" si="5">B108*C$107</f>
        <v>1213600</v>
      </c>
      <c r="E108" s="187" t="s">
        <v>1063</v>
      </c>
    </row>
    <row r="109">
      <c r="A109" s="98" t="s">
        <v>1103</v>
      </c>
      <c r="B109" s="956">
        <v>0.1</v>
      </c>
      <c r="C109" s="187">
        <f t="shared" si="5"/>
        <v>148000</v>
      </c>
      <c r="E109" s="187" t="s">
        <v>1063</v>
      </c>
    </row>
    <row r="110">
      <c r="A110" s="98" t="s">
        <v>403</v>
      </c>
      <c r="B110" s="956">
        <v>0.04</v>
      </c>
      <c r="C110" s="187">
        <f t="shared" si="5"/>
        <v>59200</v>
      </c>
      <c r="E110" s="187" t="s">
        <v>1063</v>
      </c>
    </row>
    <row r="111">
      <c r="A111" s="98" t="s">
        <v>410</v>
      </c>
      <c r="B111" s="956">
        <v>0.02</v>
      </c>
      <c r="C111" s="187">
        <f t="shared" si="5"/>
        <v>29600</v>
      </c>
      <c r="E111" s="187" t="s">
        <v>1063</v>
      </c>
    </row>
    <row r="112">
      <c r="B112" s="290">
        <f>SUM(B108:B111)</f>
        <v>0.98</v>
      </c>
      <c r="C112" s="187"/>
    </row>
    <row r="113">
      <c r="A113" s="26" t="s">
        <v>1286</v>
      </c>
      <c r="C113" s="187"/>
    </row>
    <row r="114">
      <c r="A114" s="118" t="s">
        <v>1176</v>
      </c>
      <c r="C114" s="187">
        <v>1900000.0</v>
      </c>
    </row>
    <row r="115">
      <c r="A115" s="98" t="s">
        <v>1180</v>
      </c>
      <c r="C115" s="1100">
        <v>841800.0</v>
      </c>
      <c r="E115" s="1051" t="s">
        <v>993</v>
      </c>
    </row>
    <row r="116">
      <c r="A116" s="98" t="s">
        <v>1187</v>
      </c>
      <c r="B116" s="639">
        <v>0.238</v>
      </c>
      <c r="C116" s="187">
        <f t="shared" ref="C116:C117" si="6">B116*C$115</f>
        <v>200348.4</v>
      </c>
      <c r="E116" s="98" t="s">
        <v>964</v>
      </c>
    </row>
    <row r="117">
      <c r="A117" s="98" t="s">
        <v>1103</v>
      </c>
      <c r="B117" s="639">
        <v>0.675</v>
      </c>
      <c r="C117" s="187">
        <f t="shared" si="6"/>
        <v>568215</v>
      </c>
      <c r="E117" s="98" t="s">
        <v>964</v>
      </c>
    </row>
    <row r="118">
      <c r="A118" s="98" t="s">
        <v>1287</v>
      </c>
      <c r="B118" s="639">
        <v>0.07</v>
      </c>
      <c r="C118" s="187"/>
      <c r="E118" s="98" t="s">
        <v>964</v>
      </c>
      <c r="F118" s="98" t="s">
        <v>1288</v>
      </c>
    </row>
    <row r="119">
      <c r="A119" s="98" t="s">
        <v>403</v>
      </c>
      <c r="B119" s="245">
        <f>B118*(B93/(B93+B94))</f>
        <v>0.04162162162</v>
      </c>
      <c r="C119" s="187">
        <f t="shared" ref="C119:C120" si="7">B119*C$115</f>
        <v>35037.08108</v>
      </c>
      <c r="E119" s="98" t="s">
        <v>1289</v>
      </c>
    </row>
    <row r="120">
      <c r="A120" s="98" t="s">
        <v>410</v>
      </c>
      <c r="B120" s="290">
        <f>B118-B119</f>
        <v>0.02837837838</v>
      </c>
      <c r="C120" s="187">
        <f t="shared" si="7"/>
        <v>23888.91892</v>
      </c>
    </row>
    <row r="121">
      <c r="B121" s="290">
        <f>SUM(B116:B120)-B118</f>
        <v>0.983</v>
      </c>
      <c r="C121" s="187"/>
    </row>
    <row r="122">
      <c r="A122" s="26" t="s">
        <v>1290</v>
      </c>
      <c r="B122" s="290"/>
      <c r="C122" s="187"/>
    </row>
    <row r="123">
      <c r="A123" s="98" t="s">
        <v>1291</v>
      </c>
      <c r="C123" s="187">
        <f t="shared" ref="C123:C125" si="8">C90+C99+C107+C115</f>
        <v>30651800</v>
      </c>
    </row>
    <row r="124">
      <c r="A124" s="98" t="s">
        <v>1292</v>
      </c>
      <c r="C124" s="187">
        <f t="shared" si="8"/>
        <v>25616678.4</v>
      </c>
    </row>
    <row r="125">
      <c r="A125" s="98" t="s">
        <v>1293</v>
      </c>
      <c r="C125" s="187">
        <f t="shared" si="8"/>
        <v>1637095</v>
      </c>
    </row>
    <row r="126">
      <c r="A126" s="98" t="s">
        <v>1294</v>
      </c>
      <c r="C126" s="187">
        <f t="shared" ref="C126:C127" si="9">C93+C102+C110+C119</f>
        <v>1436307.081</v>
      </c>
    </row>
    <row r="127">
      <c r="A127" s="98" t="s">
        <v>1295</v>
      </c>
      <c r="C127" s="187">
        <f t="shared" si="9"/>
        <v>900658.9189</v>
      </c>
    </row>
    <row r="128">
      <c r="A128" s="98" t="s">
        <v>1296</v>
      </c>
      <c r="C128" s="187">
        <f>SUM(C126:C127)</f>
        <v>2336966</v>
      </c>
    </row>
  </sheetData>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18.44"/>
    <col customWidth="1" min="2" max="3" width="16.0"/>
    <col customWidth="1" min="4" max="4" width="10.33"/>
    <col customWidth="1" min="5" max="6" width="20.0"/>
    <col customWidth="1" min="7" max="7" width="7.33"/>
    <col customWidth="1" min="8" max="26" width="10.44"/>
  </cols>
  <sheetData>
    <row r="1">
      <c r="A1" s="26" t="s">
        <v>844</v>
      </c>
      <c r="F1" s="98" t="s">
        <v>845</v>
      </c>
    </row>
    <row r="2">
      <c r="A2" s="98" t="s">
        <v>846</v>
      </c>
    </row>
    <row r="4">
      <c r="A4" s="26" t="s">
        <v>847</v>
      </c>
      <c r="B4" s="98"/>
      <c r="C4" s="98"/>
      <c r="D4" s="98"/>
      <c r="E4" s="98"/>
      <c r="F4" s="98"/>
      <c r="G4" s="98"/>
      <c r="H4" s="500"/>
    </row>
    <row r="5">
      <c r="A5" s="26" t="s">
        <v>849</v>
      </c>
      <c r="B5" s="662" t="s">
        <v>850</v>
      </c>
      <c r="C5" s="662" t="s">
        <v>851</v>
      </c>
      <c r="D5" s="662" t="s">
        <v>852</v>
      </c>
      <c r="E5" s="662" t="s">
        <v>851</v>
      </c>
      <c r="F5" s="98"/>
      <c r="G5" s="98"/>
      <c r="H5" s="500"/>
    </row>
    <row r="6">
      <c r="A6" s="725" t="s">
        <v>854</v>
      </c>
      <c r="B6" s="154">
        <v>26.32</v>
      </c>
      <c r="C6" s="154">
        <v>54.83</v>
      </c>
      <c r="D6" s="154">
        <v>7.97</v>
      </c>
      <c r="E6" s="154">
        <v>29.68</v>
      </c>
      <c r="F6" s="725" t="s">
        <v>856</v>
      </c>
      <c r="G6" s="98"/>
      <c r="H6" s="500"/>
    </row>
    <row r="7">
      <c r="A7" s="98" t="s">
        <v>857</v>
      </c>
      <c r="B7" s="27">
        <v>26.11</v>
      </c>
      <c r="C7" s="27">
        <v>57.19</v>
      </c>
      <c r="D7" s="27">
        <v>7.33</v>
      </c>
      <c r="E7" s="27">
        <v>29.04</v>
      </c>
      <c r="F7" s="98" t="s">
        <v>859</v>
      </c>
      <c r="G7" s="500" t="s">
        <v>861</v>
      </c>
      <c r="H7" s="500"/>
    </row>
    <row r="8">
      <c r="A8" s="98" t="s">
        <v>862</v>
      </c>
      <c r="B8" s="27">
        <v>24.67</v>
      </c>
      <c r="C8" s="27">
        <v>57.21</v>
      </c>
      <c r="D8" s="27">
        <v>5.74</v>
      </c>
      <c r="E8" s="27">
        <v>29.09</v>
      </c>
      <c r="F8" s="98" t="s">
        <v>859</v>
      </c>
    </row>
    <row r="9">
      <c r="B9" s="27"/>
      <c r="C9" s="27"/>
    </row>
    <row r="10">
      <c r="A10" s="26" t="s">
        <v>849</v>
      </c>
      <c r="B10" s="1" t="s">
        <v>854</v>
      </c>
      <c r="C10" s="27"/>
    </row>
    <row r="11">
      <c r="A11" s="98" t="s">
        <v>867</v>
      </c>
      <c r="B11" s="720">
        <f t="shared" ref="B11:C11" si="1">INDEX(B6:B8,MATCH($B10,$A6:$A8,0))</f>
        <v>26.32</v>
      </c>
      <c r="C11" s="720">
        <f t="shared" si="1"/>
        <v>54.83</v>
      </c>
      <c r="D11" s="720">
        <f t="shared" ref="D11:E11" si="2">VALUE(INDEX(D6:D8,MATCH($B10,$A6:$A8,0)))</f>
        <v>7.97</v>
      </c>
      <c r="E11" s="720">
        <f t="shared" si="2"/>
        <v>29.68</v>
      </c>
      <c r="F11" s="98" t="s">
        <v>892</v>
      </c>
    </row>
    <row r="12">
      <c r="A12" s="1053" t="s">
        <v>894</v>
      </c>
      <c r="B12" s="1056">
        <f>(elecPricePerkWh-34)/34</f>
        <v>-0.2258823529</v>
      </c>
      <c r="C12" s="27"/>
      <c r="D12" s="1058">
        <f>(gasPricePerkWh-10.3)/10.3</f>
        <v>-0.2262135922</v>
      </c>
    </row>
    <row r="13">
      <c r="B13" s="27"/>
      <c r="C13" s="27"/>
    </row>
    <row r="14">
      <c r="A14" s="26" t="s">
        <v>916</v>
      </c>
    </row>
    <row r="15">
      <c r="B15" s="1059" t="s">
        <v>920</v>
      </c>
      <c r="C15" s="1060"/>
      <c r="E15" s="1059" t="s">
        <v>924</v>
      </c>
      <c r="F15" s="1060"/>
      <c r="H15" s="1059" t="s">
        <v>30</v>
      </c>
      <c r="I15" s="1060"/>
      <c r="K15" s="98" t="s">
        <v>928</v>
      </c>
    </row>
    <row r="16">
      <c r="A16" s="98" t="s">
        <v>929</v>
      </c>
      <c r="B16" s="240">
        <v>2700.0</v>
      </c>
      <c r="C16" s="305"/>
      <c r="E16" s="240">
        <v>3900.0</v>
      </c>
      <c r="F16" s="305"/>
      <c r="H16" s="240">
        <v>11500.0</v>
      </c>
      <c r="I16" s="305"/>
    </row>
    <row r="17">
      <c r="B17" s="240" t="s">
        <v>936</v>
      </c>
      <c r="C17" s="305" t="s">
        <v>351</v>
      </c>
      <c r="E17" s="240" t="s">
        <v>936</v>
      </c>
      <c r="F17" s="305" t="s">
        <v>351</v>
      </c>
      <c r="H17" s="240" t="s">
        <v>936</v>
      </c>
      <c r="I17" s="305" t="s">
        <v>351</v>
      </c>
    </row>
    <row r="18">
      <c r="A18" s="98" t="s">
        <v>940</v>
      </c>
      <c r="B18" s="1062">
        <v>192.92</v>
      </c>
      <c r="C18" s="1063">
        <v>863.46</v>
      </c>
      <c r="D18" s="1065"/>
      <c r="E18" s="1066">
        <v>192.64</v>
      </c>
      <c r="F18" s="1063">
        <v>2215.95</v>
      </c>
      <c r="G18" s="1065"/>
      <c r="H18" s="1062">
        <v>127.65</v>
      </c>
      <c r="I18" s="1063">
        <v>779.45</v>
      </c>
      <c r="J18" s="951"/>
      <c r="K18" s="98" t="s">
        <v>952</v>
      </c>
    </row>
    <row r="19">
      <c r="A19" s="98" t="s">
        <v>953</v>
      </c>
      <c r="B19" s="1062">
        <v>254.46</v>
      </c>
      <c r="C19" s="1063">
        <v>900.82</v>
      </c>
      <c r="D19" s="1065"/>
      <c r="E19" s="1066">
        <v>254.07</v>
      </c>
      <c r="F19" s="1063">
        <v>2194.84</v>
      </c>
      <c r="G19" s="1065"/>
      <c r="H19" s="1062">
        <v>127.64</v>
      </c>
      <c r="I19" s="1063">
        <v>784.44</v>
      </c>
      <c r="J19" s="951"/>
    </row>
    <row r="20">
      <c r="A20" s="98" t="s">
        <v>958</v>
      </c>
      <c r="B20" s="1062">
        <v>254.7</v>
      </c>
      <c r="C20" s="1063">
        <v>902.16</v>
      </c>
      <c r="D20" s="1065"/>
      <c r="E20" s="1066">
        <v>254.3</v>
      </c>
      <c r="F20" s="1063">
        <v>2224.29</v>
      </c>
      <c r="G20" s="1065"/>
      <c r="H20" s="1062">
        <v>127.64</v>
      </c>
      <c r="I20" s="1063">
        <v>782.75</v>
      </c>
      <c r="J20" s="951"/>
    </row>
    <row r="21">
      <c r="A21" s="98" t="s">
        <v>962</v>
      </c>
      <c r="B21" s="1062">
        <v>229.11</v>
      </c>
      <c r="C21" s="1063">
        <v>908.2</v>
      </c>
      <c r="D21" s="1065"/>
      <c r="E21" s="1066">
        <v>228.77</v>
      </c>
      <c r="F21" s="1063">
        <v>2235.45</v>
      </c>
      <c r="G21" s="1065"/>
      <c r="H21" s="1062">
        <v>127.65</v>
      </c>
      <c r="I21" s="1063">
        <v>778.71</v>
      </c>
      <c r="J21" s="951"/>
    </row>
    <row r="22">
      <c r="A22" s="98" t="s">
        <v>967</v>
      </c>
      <c r="B22" s="1062">
        <v>202.68</v>
      </c>
      <c r="C22" s="1063">
        <v>880.77</v>
      </c>
      <c r="D22" s="1065"/>
      <c r="E22" s="1066">
        <v>202.38</v>
      </c>
      <c r="F22" s="1063">
        <v>2248.79</v>
      </c>
      <c r="G22" s="1065"/>
      <c r="H22" s="1062">
        <v>127.58</v>
      </c>
      <c r="I22" s="1063">
        <v>812.66</v>
      </c>
      <c r="J22" s="951"/>
    </row>
    <row r="23">
      <c r="A23" s="98" t="s">
        <v>972</v>
      </c>
      <c r="B23" s="1062">
        <v>252.94</v>
      </c>
      <c r="C23" s="1063">
        <v>915.21</v>
      </c>
      <c r="D23" s="1065"/>
      <c r="E23" s="1066">
        <v>252.56</v>
      </c>
      <c r="F23" s="1063">
        <v>2253.54</v>
      </c>
      <c r="G23" s="1065"/>
      <c r="H23" s="1062">
        <v>127.65</v>
      </c>
      <c r="I23" s="1063">
        <v>778.72</v>
      </c>
      <c r="J23" s="951"/>
    </row>
    <row r="24">
      <c r="A24" s="98" t="s">
        <v>978</v>
      </c>
      <c r="B24" s="1062">
        <v>276.75</v>
      </c>
      <c r="C24" s="1063">
        <v>987.76</v>
      </c>
      <c r="D24" s="1065"/>
      <c r="E24" s="1066">
        <v>276.37</v>
      </c>
      <c r="F24" s="1063">
        <v>2325.92</v>
      </c>
      <c r="G24" s="1065"/>
      <c r="H24" s="1062">
        <v>127.64</v>
      </c>
      <c r="I24" s="1063">
        <v>784.17</v>
      </c>
      <c r="J24" s="951"/>
    </row>
    <row r="25">
      <c r="A25" s="98" t="s">
        <v>983</v>
      </c>
      <c r="B25" s="1062">
        <v>181.17</v>
      </c>
      <c r="C25" s="1063">
        <v>856.92</v>
      </c>
      <c r="D25" s="1065"/>
      <c r="E25" s="1066">
        <v>180.91</v>
      </c>
      <c r="F25" s="1063">
        <v>2262.71</v>
      </c>
      <c r="G25" s="1065"/>
      <c r="H25" s="1062">
        <v>127.58</v>
      </c>
      <c r="I25" s="1063">
        <v>809.8</v>
      </c>
      <c r="J25" s="951"/>
    </row>
    <row r="26">
      <c r="A26" s="98" t="s">
        <v>988</v>
      </c>
      <c r="B26" s="1062">
        <v>220.1</v>
      </c>
      <c r="C26" s="1063">
        <v>904.83</v>
      </c>
      <c r="D26" s="1065"/>
      <c r="E26" s="1066">
        <v>219.77</v>
      </c>
      <c r="F26" s="1063">
        <v>2275.95</v>
      </c>
      <c r="G26" s="1065"/>
      <c r="H26" s="1062">
        <v>127.61</v>
      </c>
      <c r="I26" s="1063">
        <v>796.75</v>
      </c>
      <c r="J26" s="951"/>
    </row>
    <row r="27">
      <c r="A27" s="98" t="s">
        <v>990</v>
      </c>
      <c r="B27" s="1062">
        <v>218.04</v>
      </c>
      <c r="C27" s="1063">
        <v>894.93</v>
      </c>
      <c r="D27" s="1065"/>
      <c r="E27" s="1066">
        <v>217.72</v>
      </c>
      <c r="F27" s="1063">
        <v>2253.72</v>
      </c>
      <c r="G27" s="1065"/>
      <c r="H27" s="1062">
        <v>127.65</v>
      </c>
      <c r="I27" s="1063">
        <v>782.11</v>
      </c>
      <c r="J27" s="951"/>
    </row>
    <row r="28">
      <c r="A28" s="98" t="s">
        <v>995</v>
      </c>
      <c r="B28" s="1062">
        <v>215.95</v>
      </c>
      <c r="C28" s="1063">
        <v>858.59</v>
      </c>
      <c r="D28" s="1065"/>
      <c r="E28" s="1066">
        <v>215.61</v>
      </c>
      <c r="F28" s="1063">
        <v>2209.59</v>
      </c>
      <c r="G28" s="1065"/>
      <c r="H28" s="1062">
        <v>127.67</v>
      </c>
      <c r="I28" s="1063">
        <v>773.78</v>
      </c>
      <c r="J28" s="951"/>
    </row>
    <row r="29">
      <c r="A29" s="98" t="s">
        <v>997</v>
      </c>
      <c r="B29" s="1062">
        <v>237.64</v>
      </c>
      <c r="C29" s="1063">
        <v>886.27</v>
      </c>
      <c r="D29" s="1065"/>
      <c r="E29" s="1066">
        <v>237.26</v>
      </c>
      <c r="F29" s="1063">
        <v>2250.72</v>
      </c>
      <c r="G29" s="1065"/>
      <c r="H29" s="1062">
        <v>127.64</v>
      </c>
      <c r="I29" s="1063">
        <v>783.67</v>
      </c>
      <c r="J29" s="951"/>
    </row>
    <row r="30">
      <c r="A30" s="98" t="s">
        <v>1002</v>
      </c>
      <c r="B30" s="1062">
        <v>232.37</v>
      </c>
      <c r="C30" s="1063">
        <v>910.07</v>
      </c>
      <c r="D30" s="1065"/>
      <c r="E30" s="1066">
        <v>232.03</v>
      </c>
      <c r="F30" s="1063">
        <v>2263.6</v>
      </c>
      <c r="G30" s="1065"/>
      <c r="H30" s="1062">
        <v>127.59</v>
      </c>
      <c r="I30" s="1063">
        <v>807.0</v>
      </c>
      <c r="J30" s="951"/>
    </row>
    <row r="31">
      <c r="A31" s="98" t="s">
        <v>1005</v>
      </c>
      <c r="B31" s="1062">
        <v>230.1</v>
      </c>
      <c r="C31" s="1063">
        <v>906.03</v>
      </c>
      <c r="D31" s="1065"/>
      <c r="E31" s="1066">
        <v>229.75</v>
      </c>
      <c r="F31" s="1063">
        <v>1159.07</v>
      </c>
      <c r="G31" s="1065"/>
      <c r="H31" s="1062">
        <v>127.6</v>
      </c>
      <c r="I31" s="1063">
        <v>800.89</v>
      </c>
      <c r="J31" s="951"/>
    </row>
    <row r="32">
      <c r="A32" s="98" t="s">
        <v>1009</v>
      </c>
      <c r="B32" s="1073">
        <f t="shared" ref="B32:C32" si="3">AVERAGE(B18:B31)</f>
        <v>228.495</v>
      </c>
      <c r="C32" s="1074">
        <f t="shared" si="3"/>
        <v>898.2871429</v>
      </c>
      <c r="D32" s="1065"/>
      <c r="E32" s="1073">
        <f t="shared" ref="E32:F32" si="4">AVERAGE(E18:E31)</f>
        <v>228.1528571</v>
      </c>
      <c r="F32" s="1074">
        <f t="shared" si="4"/>
        <v>2169.581429</v>
      </c>
      <c r="G32" s="1065"/>
      <c r="H32" s="1062">
        <f t="shared" ref="H32:I32" si="5">AVERAGE(H18:H31)</f>
        <v>127.6278571</v>
      </c>
      <c r="I32" s="1063">
        <f t="shared" si="5"/>
        <v>789.6357143</v>
      </c>
      <c r="J32" s="951"/>
    </row>
    <row r="33">
      <c r="A33" s="98" t="s">
        <v>889</v>
      </c>
      <c r="B33" s="1076"/>
      <c r="C33" s="1078">
        <f>(C32-B32)/B16*100</f>
        <v>24.8071164</v>
      </c>
      <c r="D33" s="951"/>
      <c r="E33" s="1076"/>
      <c r="F33" s="1078">
        <f>(F32-E32)/E16*100</f>
        <v>49.78021978</v>
      </c>
      <c r="G33" s="951"/>
      <c r="H33" s="1076"/>
      <c r="I33" s="1078">
        <f>(I32-H32)/H16*100</f>
        <v>5.756590062</v>
      </c>
    </row>
    <row r="34">
      <c r="B34" s="951"/>
      <c r="C34" s="951"/>
      <c r="D34" s="951"/>
      <c r="E34" s="951"/>
      <c r="F34" s="951"/>
      <c r="G34" s="951"/>
      <c r="H34" s="951"/>
      <c r="I34" s="951"/>
    </row>
    <row r="37">
      <c r="A37" s="1080" t="s">
        <v>1057</v>
      </c>
      <c r="B37" s="288"/>
      <c r="C37" s="288"/>
    </row>
    <row r="38">
      <c r="A38" s="288" t="s">
        <v>1061</v>
      </c>
      <c r="B38" s="288">
        <v>30.5</v>
      </c>
      <c r="C38" s="288" t="s">
        <v>889</v>
      </c>
    </row>
    <row r="39">
      <c r="A39" s="288" t="s">
        <v>1062</v>
      </c>
      <c r="B39" s="288">
        <v>15.0</v>
      </c>
      <c r="C39" s="288" t="s">
        <v>889</v>
      </c>
    </row>
  </sheetData>
  <dataValidations>
    <dataValidation type="list" allowBlank="1" showErrorMessage="1" sqref="B10">
      <formula1>$A$6:$A$8</formula1>
    </dataValidation>
  </dataValidations>
  <printOptions/>
  <pageMargins bottom="0.75" footer="0.0" header="0.0" left="0.7" right="0.7" top="0.75"/>
  <pageSetup orientation="portrait"/>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14.0"/>
    <col customWidth="1" min="2" max="2" width="11.0"/>
    <col customWidth="1" min="3" max="3" width="43.33"/>
    <col customWidth="1" min="4" max="26" width="11.0"/>
  </cols>
  <sheetData>
    <row r="1" ht="30.0" customHeight="1">
      <c r="A1" s="597" t="s">
        <v>865</v>
      </c>
      <c r="B1" s="777" t="s">
        <v>869</v>
      </c>
      <c r="C1" s="597" t="s">
        <v>871</v>
      </c>
      <c r="D1" s="597" t="s">
        <v>872</v>
      </c>
      <c r="E1" s="1049"/>
      <c r="F1" s="1049"/>
      <c r="G1" s="1049"/>
      <c r="H1" s="1049"/>
      <c r="I1" s="1049"/>
      <c r="J1" s="1049"/>
      <c r="K1" s="2"/>
    </row>
    <row r="2" ht="30.0" customHeight="1">
      <c r="A2" s="282" t="s">
        <v>420</v>
      </c>
      <c r="B2" s="783" t="s">
        <v>877</v>
      </c>
      <c r="C2" s="118" t="s">
        <v>878</v>
      </c>
      <c r="D2" s="282" t="s">
        <v>879</v>
      </c>
      <c r="E2" s="282"/>
      <c r="F2" s="282"/>
      <c r="G2" s="282"/>
      <c r="H2" s="282"/>
      <c r="I2" s="282"/>
      <c r="J2" s="282"/>
    </row>
    <row r="3">
      <c r="A3" s="282" t="s">
        <v>881</v>
      </c>
      <c r="B3" s="783">
        <v>2021.0</v>
      </c>
      <c r="C3" s="118" t="s">
        <v>882</v>
      </c>
      <c r="D3" s="282" t="s">
        <v>883</v>
      </c>
      <c r="E3" s="282"/>
      <c r="F3" s="282"/>
      <c r="G3" s="282"/>
      <c r="H3" s="282"/>
      <c r="I3" s="282"/>
      <c r="J3" s="282"/>
    </row>
    <row r="4">
      <c r="A4" s="282" t="s">
        <v>885</v>
      </c>
      <c r="B4" s="783">
        <v>2022.0</v>
      </c>
      <c r="C4" s="118" t="s">
        <v>886</v>
      </c>
      <c r="D4" s="282" t="s">
        <v>887</v>
      </c>
      <c r="E4" s="282"/>
      <c r="F4" s="282"/>
      <c r="G4" s="282"/>
      <c r="H4" s="282"/>
      <c r="I4" s="282"/>
      <c r="J4" s="282"/>
    </row>
    <row r="5" ht="30.0" customHeight="1">
      <c r="A5" s="282" t="s">
        <v>782</v>
      </c>
      <c r="B5" s="783">
        <v>2017.0</v>
      </c>
      <c r="C5" s="118" t="s">
        <v>890</v>
      </c>
      <c r="D5" s="282" t="s">
        <v>891</v>
      </c>
      <c r="E5" s="282"/>
      <c r="F5" s="282"/>
      <c r="G5" s="282"/>
      <c r="H5" s="282"/>
      <c r="I5" s="282"/>
      <c r="J5" s="282"/>
    </row>
    <row r="6" ht="15.0" customHeight="1">
      <c r="A6" s="282" t="s">
        <v>893</v>
      </c>
      <c r="B6" s="783">
        <v>2022.0</v>
      </c>
      <c r="C6" s="118" t="s">
        <v>895</v>
      </c>
      <c r="D6" s="282" t="s">
        <v>896</v>
      </c>
      <c r="E6" s="282"/>
      <c r="F6" s="282"/>
      <c r="G6" s="282"/>
      <c r="H6" s="282"/>
      <c r="I6" s="282"/>
      <c r="J6" s="282"/>
    </row>
    <row r="7">
      <c r="A7" s="282" t="s">
        <v>898</v>
      </c>
      <c r="B7" s="783">
        <v>2022.0</v>
      </c>
      <c r="C7" s="118" t="s">
        <v>899</v>
      </c>
      <c r="D7" s="282" t="s">
        <v>900</v>
      </c>
      <c r="E7" s="282"/>
      <c r="F7" s="282"/>
      <c r="G7" s="282"/>
      <c r="H7" s="282"/>
      <c r="I7" s="282"/>
      <c r="J7" s="282"/>
    </row>
    <row r="8">
      <c r="A8" s="282" t="s">
        <v>61</v>
      </c>
      <c r="B8" s="783">
        <v>2019.0</v>
      </c>
      <c r="C8" s="118" t="s">
        <v>902</v>
      </c>
      <c r="D8" s="282" t="s">
        <v>903</v>
      </c>
      <c r="E8" s="282"/>
      <c r="F8" s="282"/>
      <c r="G8" s="282"/>
      <c r="H8" s="282"/>
      <c r="I8" s="282"/>
      <c r="J8" s="282"/>
    </row>
    <row r="9">
      <c r="A9" s="282" t="s">
        <v>358</v>
      </c>
      <c r="B9" s="783">
        <v>2024.0</v>
      </c>
      <c r="C9" s="118" t="s">
        <v>905</v>
      </c>
      <c r="D9" s="282" t="s">
        <v>907</v>
      </c>
      <c r="E9" s="282"/>
      <c r="F9" s="282"/>
      <c r="G9" s="282"/>
      <c r="H9" s="282"/>
      <c r="I9" s="282"/>
      <c r="J9" s="282"/>
    </row>
    <row r="10">
      <c r="A10" s="282" t="s">
        <v>909</v>
      </c>
      <c r="B10" s="1057">
        <v>45901.0</v>
      </c>
      <c r="C10" s="118" t="s">
        <v>910</v>
      </c>
      <c r="D10" s="282" t="s">
        <v>911</v>
      </c>
      <c r="E10" s="282"/>
      <c r="F10" s="282"/>
      <c r="G10" s="282"/>
      <c r="H10" s="282"/>
      <c r="I10" s="282"/>
      <c r="J10" s="282"/>
    </row>
    <row r="11">
      <c r="A11" s="282" t="s">
        <v>912</v>
      </c>
      <c r="B11" s="1057">
        <v>45901.0</v>
      </c>
      <c r="C11" s="118" t="s">
        <v>913</v>
      </c>
      <c r="D11" s="282" t="s">
        <v>914</v>
      </c>
      <c r="E11" s="282"/>
      <c r="F11" s="282"/>
      <c r="G11" s="282"/>
      <c r="H11" s="282"/>
      <c r="I11" s="282"/>
      <c r="J11" s="282"/>
    </row>
    <row r="12">
      <c r="A12" s="282" t="s">
        <v>917</v>
      </c>
      <c r="B12" s="783">
        <v>2021.0</v>
      </c>
      <c r="C12" s="118" t="s">
        <v>918</v>
      </c>
      <c r="D12" s="282" t="s">
        <v>919</v>
      </c>
      <c r="E12" s="282"/>
      <c r="F12" s="282"/>
      <c r="G12" s="282"/>
      <c r="H12" s="282"/>
      <c r="I12" s="282"/>
      <c r="J12" s="282"/>
    </row>
    <row r="13">
      <c r="A13" s="282" t="s">
        <v>149</v>
      </c>
      <c r="B13" s="783">
        <v>2024.0</v>
      </c>
      <c r="C13" s="118" t="s">
        <v>922</v>
      </c>
      <c r="D13" s="282" t="s">
        <v>923</v>
      </c>
      <c r="E13" s="282"/>
      <c r="F13" s="282"/>
      <c r="G13" s="282"/>
      <c r="H13" s="282"/>
      <c r="I13" s="282"/>
      <c r="J13" s="282"/>
    </row>
    <row r="14">
      <c r="A14" s="282" t="s">
        <v>925</v>
      </c>
      <c r="B14" s="783">
        <v>2022.0</v>
      </c>
      <c r="C14" s="118" t="s">
        <v>926</v>
      </c>
      <c r="D14" s="282" t="s">
        <v>927</v>
      </c>
      <c r="E14" s="282"/>
      <c r="F14" s="282"/>
      <c r="G14" s="282"/>
      <c r="H14" s="282"/>
      <c r="I14" s="282"/>
      <c r="J14" s="282"/>
    </row>
    <row r="15">
      <c r="A15" s="282" t="s">
        <v>142</v>
      </c>
      <c r="B15" s="783">
        <v>2012.0</v>
      </c>
      <c r="C15" s="118" t="s">
        <v>930</v>
      </c>
      <c r="D15" s="282" t="s">
        <v>931</v>
      </c>
      <c r="E15" s="282"/>
      <c r="F15" s="282"/>
      <c r="G15" s="282"/>
      <c r="H15" s="282"/>
      <c r="I15" s="282"/>
      <c r="J15" s="282"/>
    </row>
    <row r="16">
      <c r="A16" s="282" t="s">
        <v>934</v>
      </c>
      <c r="B16" s="783">
        <v>2026.0</v>
      </c>
      <c r="C16" s="118" t="s">
        <v>935</v>
      </c>
      <c r="D16" s="282" t="s">
        <v>937</v>
      </c>
      <c r="E16" s="282"/>
      <c r="F16" s="282"/>
      <c r="G16" s="282"/>
      <c r="H16" s="282"/>
      <c r="I16" s="282"/>
      <c r="J16" s="282"/>
    </row>
    <row r="17">
      <c r="A17" s="282" t="s">
        <v>938</v>
      </c>
      <c r="B17" s="783">
        <v>2020.0</v>
      </c>
      <c r="C17" s="118" t="s">
        <v>939</v>
      </c>
      <c r="D17" s="282" t="s">
        <v>941</v>
      </c>
      <c r="E17" s="282"/>
      <c r="F17" s="282"/>
      <c r="G17" s="282"/>
      <c r="H17" s="282"/>
      <c r="I17" s="282"/>
      <c r="J17" s="282"/>
    </row>
    <row r="18">
      <c r="A18" s="282" t="s">
        <v>62</v>
      </c>
      <c r="B18" s="783">
        <v>2018.0</v>
      </c>
      <c r="C18" s="118" t="s">
        <v>943</v>
      </c>
      <c r="D18" s="282" t="s">
        <v>944</v>
      </c>
      <c r="E18" s="282"/>
      <c r="F18" s="282"/>
      <c r="G18" s="282"/>
      <c r="H18" s="282"/>
      <c r="I18" s="282"/>
      <c r="J18" s="282"/>
    </row>
    <row r="19">
      <c r="A19" s="282" t="s">
        <v>945</v>
      </c>
      <c r="B19" s="783">
        <v>2022.0</v>
      </c>
      <c r="C19" s="118" t="s">
        <v>946</v>
      </c>
      <c r="D19" s="282" t="s">
        <v>947</v>
      </c>
      <c r="E19" s="282"/>
      <c r="F19" s="282"/>
      <c r="G19" s="282"/>
      <c r="H19" s="282"/>
      <c r="I19" s="282"/>
      <c r="J19" s="282"/>
    </row>
    <row r="20">
      <c r="A20" s="282" t="s">
        <v>59</v>
      </c>
      <c r="B20" s="783" t="s">
        <v>949</v>
      </c>
      <c r="C20" s="118" t="s">
        <v>950</v>
      </c>
      <c r="D20" s="282" t="s">
        <v>951</v>
      </c>
      <c r="E20" s="282"/>
      <c r="F20" s="282"/>
      <c r="G20" s="282"/>
      <c r="H20" s="282"/>
      <c r="I20" s="282"/>
      <c r="J20" s="282"/>
    </row>
    <row r="21">
      <c r="A21" s="282" t="s">
        <v>954</v>
      </c>
      <c r="B21" s="783">
        <v>2017.0</v>
      </c>
      <c r="C21" s="118" t="s">
        <v>956</v>
      </c>
      <c r="D21" s="282" t="s">
        <v>957</v>
      </c>
      <c r="E21" s="282"/>
      <c r="F21" s="282"/>
      <c r="G21" s="282"/>
      <c r="H21" s="282"/>
      <c r="I21" s="282"/>
      <c r="J21" s="282"/>
    </row>
    <row r="22">
      <c r="A22" s="282" t="s">
        <v>324</v>
      </c>
      <c r="B22" s="783" t="s">
        <v>959</v>
      </c>
      <c r="C22" s="118" t="s">
        <v>960</v>
      </c>
      <c r="D22" s="282" t="s">
        <v>961</v>
      </c>
      <c r="E22" s="282"/>
      <c r="F22" s="282"/>
      <c r="G22" s="282"/>
      <c r="H22" s="282"/>
      <c r="I22" s="282"/>
      <c r="J22" s="282"/>
    </row>
    <row r="23">
      <c r="A23" s="282" t="s">
        <v>964</v>
      </c>
      <c r="B23" s="783">
        <v>2017.0</v>
      </c>
      <c r="C23" s="118" t="s">
        <v>965</v>
      </c>
      <c r="D23" s="282" t="s">
        <v>966</v>
      </c>
      <c r="E23" s="282"/>
      <c r="F23" s="282"/>
      <c r="G23" s="282"/>
      <c r="H23" s="282"/>
      <c r="I23" s="282"/>
      <c r="J23" s="282"/>
    </row>
    <row r="24">
      <c r="A24" s="282" t="s">
        <v>968</v>
      </c>
      <c r="B24" s="783">
        <v>2018.0</v>
      </c>
      <c r="C24" s="118" t="s">
        <v>969</v>
      </c>
      <c r="D24" s="282" t="s">
        <v>970</v>
      </c>
      <c r="E24" s="282"/>
      <c r="F24" s="282"/>
      <c r="G24" s="282"/>
      <c r="H24" s="282"/>
      <c r="I24" s="282"/>
      <c r="J24" s="282"/>
    </row>
    <row r="25">
      <c r="A25" s="282" t="s">
        <v>973</v>
      </c>
      <c r="B25" s="783">
        <v>2024.0</v>
      </c>
      <c r="C25" s="118" t="s">
        <v>974</v>
      </c>
      <c r="D25" s="282" t="s">
        <v>976</v>
      </c>
      <c r="E25" s="282"/>
      <c r="F25" s="282"/>
      <c r="G25" s="282"/>
      <c r="H25" s="282"/>
      <c r="I25" s="282"/>
      <c r="J25" s="282"/>
    </row>
    <row r="26">
      <c r="A26" s="282" t="s">
        <v>979</v>
      </c>
      <c r="B26" s="783">
        <v>2021.0</v>
      </c>
      <c r="C26" s="118" t="s">
        <v>981</v>
      </c>
      <c r="D26" s="282" t="s">
        <v>982</v>
      </c>
      <c r="E26" s="282"/>
      <c r="F26" s="282"/>
      <c r="G26" s="282"/>
      <c r="H26" s="282"/>
      <c r="I26" s="282"/>
      <c r="J26" s="282"/>
    </row>
    <row r="27">
      <c r="A27" s="282" t="s">
        <v>787</v>
      </c>
      <c r="B27" s="783">
        <v>2017.0</v>
      </c>
      <c r="C27" s="118" t="s">
        <v>986</v>
      </c>
      <c r="D27" s="282" t="s">
        <v>987</v>
      </c>
      <c r="E27" s="282"/>
      <c r="F27" s="282"/>
      <c r="G27" s="282"/>
      <c r="H27" s="282"/>
      <c r="I27" s="282"/>
      <c r="J27" s="282"/>
    </row>
    <row r="28">
      <c r="A28" s="282" t="s">
        <v>225</v>
      </c>
      <c r="B28" s="783">
        <v>2023.0</v>
      </c>
      <c r="C28" s="1070" t="s">
        <v>989</v>
      </c>
      <c r="D28" s="282" t="s">
        <v>991</v>
      </c>
      <c r="E28" s="282"/>
      <c r="F28" s="282"/>
      <c r="G28" s="282"/>
      <c r="H28" s="282"/>
      <c r="I28" s="282"/>
      <c r="J28" s="282"/>
    </row>
    <row r="29">
      <c r="A29" s="282" t="s">
        <v>993</v>
      </c>
      <c r="B29" s="783">
        <v>2025.0</v>
      </c>
      <c r="C29" s="118" t="s">
        <v>994</v>
      </c>
      <c r="D29" s="282" t="s">
        <v>996</v>
      </c>
      <c r="E29" s="282"/>
      <c r="F29" s="282"/>
      <c r="G29" s="282"/>
      <c r="H29" s="282"/>
      <c r="I29" s="282"/>
      <c r="J29" s="282"/>
    </row>
    <row r="30">
      <c r="A30" s="282" t="s">
        <v>859</v>
      </c>
      <c r="B30" s="1071" t="s">
        <v>998</v>
      </c>
      <c r="C30" s="118" t="s">
        <v>999</v>
      </c>
      <c r="D30" s="282" t="s">
        <v>1000</v>
      </c>
      <c r="E30" s="282"/>
      <c r="F30" s="282"/>
      <c r="G30" s="282"/>
      <c r="H30" s="282"/>
      <c r="I30" s="282"/>
      <c r="J30" s="282"/>
    </row>
    <row r="31">
      <c r="A31" s="282" t="s">
        <v>932</v>
      </c>
      <c r="B31" s="783">
        <v>2025.0</v>
      </c>
      <c r="C31" s="118" t="s">
        <v>1003</v>
      </c>
      <c r="D31" s="282" t="s">
        <v>1004</v>
      </c>
      <c r="E31" s="282"/>
      <c r="F31" s="282"/>
      <c r="G31" s="282"/>
      <c r="H31" s="282"/>
      <c r="I31" s="282"/>
      <c r="J31" s="282"/>
    </row>
    <row r="32">
      <c r="A32" s="282" t="s">
        <v>1006</v>
      </c>
      <c r="B32" s="1072">
        <v>2026.0</v>
      </c>
      <c r="C32" s="118" t="s">
        <v>1010</v>
      </c>
      <c r="D32" s="282" t="s">
        <v>1011</v>
      </c>
      <c r="E32" s="282"/>
      <c r="F32" s="282"/>
      <c r="G32" s="282"/>
      <c r="H32" s="282"/>
      <c r="I32" s="282"/>
      <c r="J32" s="282"/>
    </row>
    <row r="33">
      <c r="A33" s="282" t="s">
        <v>1012</v>
      </c>
      <c r="B33" s="1072">
        <v>2024.0</v>
      </c>
      <c r="C33" s="118" t="s">
        <v>1013</v>
      </c>
      <c r="D33" s="282" t="s">
        <v>1014</v>
      </c>
      <c r="E33" s="282"/>
      <c r="F33" s="282"/>
      <c r="G33" s="282"/>
      <c r="H33" s="282"/>
      <c r="I33" s="282"/>
      <c r="J33" s="282"/>
    </row>
    <row r="34">
      <c r="A34" s="282" t="s">
        <v>1015</v>
      </c>
      <c r="B34" s="783">
        <v>2022.0</v>
      </c>
      <c r="C34" s="118" t="s">
        <v>1016</v>
      </c>
      <c r="D34" s="282" t="s">
        <v>1017</v>
      </c>
      <c r="E34" s="282"/>
      <c r="F34" s="282"/>
      <c r="G34" s="282"/>
      <c r="H34" s="282"/>
      <c r="I34" s="282"/>
      <c r="J34" s="282"/>
    </row>
    <row r="35">
      <c r="A35" s="282" t="s">
        <v>1018</v>
      </c>
      <c r="B35" s="783">
        <v>2022.0</v>
      </c>
      <c r="C35" s="118" t="s">
        <v>1019</v>
      </c>
      <c r="D35" s="282" t="s">
        <v>1020</v>
      </c>
      <c r="E35" s="282"/>
      <c r="F35" s="282"/>
      <c r="G35" s="282"/>
      <c r="H35" s="282"/>
      <c r="I35" s="282"/>
      <c r="J35" s="282"/>
    </row>
    <row r="36">
      <c r="A36" s="282" t="s">
        <v>1021</v>
      </c>
      <c r="B36" s="783">
        <v>2009.0</v>
      </c>
      <c r="C36" s="118" t="s">
        <v>1022</v>
      </c>
      <c r="D36" s="282" t="s">
        <v>1023</v>
      </c>
      <c r="E36" s="282"/>
      <c r="F36" s="282"/>
      <c r="G36" s="282"/>
      <c r="H36" s="282"/>
      <c r="I36" s="282"/>
      <c r="J36" s="282"/>
    </row>
    <row r="37">
      <c r="A37" s="282" t="s">
        <v>1024</v>
      </c>
      <c r="B37" s="783">
        <v>2017.0</v>
      </c>
      <c r="C37" s="118" t="s">
        <v>1025</v>
      </c>
      <c r="D37" s="282" t="s">
        <v>1026</v>
      </c>
      <c r="E37" s="282"/>
      <c r="F37" s="282"/>
      <c r="G37" s="282"/>
      <c r="H37" s="282"/>
      <c r="I37" s="282"/>
      <c r="J37" s="282"/>
    </row>
    <row r="38">
      <c r="A38" s="282" t="s">
        <v>1028</v>
      </c>
      <c r="B38" s="783">
        <v>2022.0</v>
      </c>
      <c r="C38" s="118" t="s">
        <v>1029</v>
      </c>
      <c r="D38" s="282"/>
      <c r="E38" s="282"/>
      <c r="F38" s="282"/>
      <c r="G38" s="282"/>
      <c r="H38" s="282"/>
      <c r="I38" s="282"/>
      <c r="J38" s="282"/>
    </row>
    <row r="39">
      <c r="A39" s="282" t="s">
        <v>1030</v>
      </c>
      <c r="B39" s="783">
        <v>2022.0</v>
      </c>
      <c r="C39" s="118" t="s">
        <v>1031</v>
      </c>
      <c r="D39" s="282" t="s">
        <v>1032</v>
      </c>
      <c r="E39" s="282"/>
      <c r="F39" s="282"/>
      <c r="G39" s="282"/>
      <c r="H39" s="282"/>
      <c r="I39" s="282"/>
      <c r="J39" s="282"/>
    </row>
    <row r="40">
      <c r="A40" s="282" t="s">
        <v>778</v>
      </c>
      <c r="B40" s="783">
        <v>2021.0</v>
      </c>
      <c r="C40" s="118" t="s">
        <v>1034</v>
      </c>
      <c r="D40" s="282" t="s">
        <v>1035</v>
      </c>
      <c r="E40" s="282"/>
      <c r="F40" s="282"/>
      <c r="G40" s="282"/>
      <c r="H40" s="282"/>
      <c r="I40" s="282"/>
      <c r="J40" s="282"/>
    </row>
    <row r="41">
      <c r="A41" s="282" t="s">
        <v>505</v>
      </c>
      <c r="B41" s="783">
        <v>2022.0</v>
      </c>
      <c r="C41" s="118" t="s">
        <v>1037</v>
      </c>
      <c r="D41" s="282" t="s">
        <v>1038</v>
      </c>
      <c r="E41" s="282"/>
      <c r="F41" s="282"/>
      <c r="G41" s="282"/>
      <c r="H41" s="282"/>
      <c r="I41" s="282"/>
      <c r="J41" s="282"/>
    </row>
    <row r="42">
      <c r="A42" s="282" t="s">
        <v>1041</v>
      </c>
      <c r="B42" s="783">
        <v>2024.0</v>
      </c>
      <c r="C42" s="118" t="s">
        <v>1042</v>
      </c>
      <c r="D42" s="282" t="s">
        <v>1043</v>
      </c>
      <c r="E42" s="282"/>
      <c r="F42" s="282"/>
      <c r="G42" s="282"/>
      <c r="H42" s="282"/>
      <c r="I42" s="282"/>
      <c r="J42" s="282"/>
    </row>
    <row r="43">
      <c r="A43" s="282" t="s">
        <v>1044</v>
      </c>
      <c r="B43" s="783">
        <v>2022.0</v>
      </c>
      <c r="C43" s="118" t="s">
        <v>1045</v>
      </c>
      <c r="D43" s="282" t="s">
        <v>1046</v>
      </c>
      <c r="E43" s="282"/>
      <c r="F43" s="282"/>
      <c r="G43" s="282"/>
      <c r="H43" s="282"/>
      <c r="I43" s="282"/>
      <c r="J43" s="282"/>
    </row>
    <row r="44">
      <c r="A44" s="282" t="s">
        <v>1047</v>
      </c>
      <c r="B44" s="783">
        <v>2026.0</v>
      </c>
      <c r="C44" s="118" t="s">
        <v>1048</v>
      </c>
      <c r="D44" s="282" t="s">
        <v>1049</v>
      </c>
      <c r="E44" s="1079"/>
      <c r="F44" s="1079"/>
      <c r="G44" s="1079"/>
      <c r="H44" s="1079"/>
      <c r="I44" s="1079"/>
      <c r="J44" s="1079"/>
      <c r="K44" s="26"/>
      <c r="L44" s="26"/>
      <c r="M44" s="26"/>
      <c r="N44" s="26"/>
      <c r="O44" s="26"/>
      <c r="P44" s="26"/>
      <c r="Q44" s="26"/>
      <c r="R44" s="26"/>
      <c r="S44" s="26"/>
      <c r="T44" s="26"/>
      <c r="U44" s="26"/>
      <c r="V44" s="26"/>
      <c r="W44" s="26"/>
      <c r="X44" s="26"/>
      <c r="Y44" s="26"/>
      <c r="Z44" s="26"/>
    </row>
    <row r="45">
      <c r="A45" s="282" t="s">
        <v>1051</v>
      </c>
      <c r="B45" s="783">
        <v>2022.0</v>
      </c>
      <c r="C45" s="118" t="s">
        <v>1052</v>
      </c>
      <c r="D45" s="282" t="s">
        <v>1053</v>
      </c>
      <c r="E45" s="282"/>
      <c r="F45" s="282"/>
      <c r="G45" s="282"/>
      <c r="H45" s="282"/>
      <c r="I45" s="282"/>
      <c r="J45" s="282"/>
    </row>
    <row r="46">
      <c r="A46" s="282" t="s">
        <v>1054</v>
      </c>
      <c r="B46" s="783">
        <v>2026.0</v>
      </c>
      <c r="C46" s="118" t="s">
        <v>1055</v>
      </c>
      <c r="D46" s="282" t="s">
        <v>1056</v>
      </c>
      <c r="E46" s="282"/>
      <c r="F46" s="282"/>
      <c r="G46" s="282"/>
      <c r="H46" s="282"/>
      <c r="I46" s="282"/>
      <c r="J46" s="282"/>
    </row>
    <row r="47">
      <c r="A47" s="282" t="s">
        <v>1058</v>
      </c>
      <c r="B47" s="783">
        <v>2024.0</v>
      </c>
      <c r="C47" s="118" t="s">
        <v>1059</v>
      </c>
      <c r="D47" s="282" t="s">
        <v>1060</v>
      </c>
      <c r="E47" s="282"/>
      <c r="F47" s="282"/>
      <c r="G47" s="282"/>
      <c r="H47" s="282"/>
      <c r="I47" s="282"/>
      <c r="J47" s="282"/>
    </row>
    <row r="48">
      <c r="A48" s="282" t="s">
        <v>1063</v>
      </c>
      <c r="B48" s="783">
        <v>2019.0</v>
      </c>
      <c r="C48" s="118" t="s">
        <v>1064</v>
      </c>
      <c r="D48" s="282" t="s">
        <v>1065</v>
      </c>
      <c r="E48" s="282"/>
      <c r="F48" s="282"/>
      <c r="G48" s="282"/>
      <c r="H48" s="282"/>
      <c r="I48" s="282"/>
      <c r="J48" s="282"/>
    </row>
    <row r="49">
      <c r="B49" s="27"/>
      <c r="D49" s="1081"/>
    </row>
    <row r="50">
      <c r="D50" s="282"/>
    </row>
    <row r="51">
      <c r="A51" s="500"/>
      <c r="B51" s="500"/>
      <c r="C51" s="500"/>
      <c r="D51" s="1082"/>
    </row>
    <row r="52">
      <c r="D52" s="282"/>
    </row>
    <row r="53">
      <c r="D53" s="282"/>
    </row>
    <row r="54">
      <c r="D54" s="282"/>
    </row>
    <row r="55">
      <c r="D55" s="282"/>
    </row>
    <row r="56">
      <c r="D56" s="282"/>
    </row>
    <row r="57">
      <c r="D57" s="282"/>
    </row>
    <row r="58">
      <c r="D58" s="282"/>
    </row>
    <row r="59">
      <c r="D59" s="282"/>
    </row>
    <row r="60">
      <c r="D60" s="282"/>
    </row>
    <row r="61">
      <c r="D61" s="282"/>
    </row>
    <row r="62">
      <c r="D62" s="282"/>
    </row>
    <row r="63">
      <c r="D63" s="282"/>
    </row>
    <row r="64">
      <c r="D64" s="282"/>
    </row>
    <row r="65">
      <c r="D65" s="282"/>
    </row>
    <row r="66">
      <c r="D66" s="282"/>
    </row>
    <row r="67">
      <c r="D67" s="282"/>
    </row>
    <row r="68">
      <c r="D68" s="282"/>
    </row>
    <row r="69">
      <c r="D69" s="282"/>
    </row>
    <row r="70">
      <c r="D70" s="282"/>
    </row>
    <row r="71">
      <c r="D71" s="282"/>
    </row>
    <row r="72">
      <c r="D72" s="282"/>
    </row>
    <row r="73">
      <c r="D73" s="282"/>
    </row>
    <row r="74">
      <c r="D74" s="282"/>
    </row>
    <row r="75">
      <c r="D75" s="282"/>
    </row>
    <row r="76">
      <c r="D76" s="282"/>
    </row>
    <row r="77">
      <c r="D77" s="282"/>
    </row>
    <row r="78">
      <c r="D78" s="282"/>
    </row>
    <row r="79">
      <c r="D79" s="282"/>
    </row>
    <row r="80">
      <c r="D80" s="282"/>
    </row>
    <row r="81">
      <c r="D81" s="282"/>
    </row>
    <row r="82">
      <c r="D82" s="282"/>
    </row>
    <row r="83">
      <c r="D83" s="282"/>
    </row>
    <row r="84">
      <c r="D84" s="282"/>
    </row>
    <row r="85">
      <c r="D85" s="282"/>
    </row>
    <row r="86">
      <c r="D86" s="282"/>
    </row>
    <row r="87">
      <c r="D87" s="282"/>
    </row>
    <row r="88">
      <c r="D88" s="282"/>
    </row>
    <row r="89">
      <c r="D89" s="282"/>
    </row>
    <row r="90">
      <c r="D90" s="282"/>
    </row>
    <row r="91">
      <c r="D91" s="282"/>
    </row>
    <row r="92">
      <c r="D92" s="282"/>
    </row>
    <row r="93">
      <c r="D93" s="282"/>
    </row>
    <row r="94">
      <c r="D94" s="282"/>
    </row>
    <row r="95">
      <c r="D95" s="282"/>
    </row>
    <row r="96">
      <c r="D96" s="282"/>
    </row>
    <row r="97">
      <c r="D97" s="282"/>
    </row>
    <row r="98">
      <c r="D98" s="282"/>
    </row>
    <row r="99">
      <c r="D99" s="282"/>
    </row>
    <row r="100">
      <c r="D100" s="282"/>
    </row>
    <row r="101">
      <c r="D101" s="282"/>
    </row>
    <row r="102">
      <c r="D102" s="282"/>
    </row>
    <row r="103">
      <c r="D103" s="282"/>
    </row>
    <row r="104">
      <c r="D104" s="282"/>
    </row>
    <row r="105">
      <c r="D105" s="282"/>
    </row>
    <row r="106">
      <c r="D106" s="282"/>
    </row>
    <row r="107">
      <c r="D107" s="282"/>
    </row>
    <row r="108">
      <c r="D108" s="282"/>
    </row>
    <row r="109">
      <c r="D109" s="282"/>
    </row>
    <row r="110">
      <c r="D110" s="282"/>
    </row>
    <row r="111">
      <c r="D111" s="282"/>
    </row>
    <row r="112">
      <c r="D112" s="282"/>
    </row>
    <row r="113">
      <c r="D113" s="282"/>
    </row>
    <row r="114">
      <c r="D114" s="282"/>
    </row>
    <row r="115">
      <c r="D115" s="282"/>
    </row>
    <row r="116">
      <c r="D116" s="282"/>
    </row>
    <row r="117">
      <c r="D117" s="282"/>
    </row>
    <row r="118">
      <c r="D118" s="282"/>
    </row>
    <row r="119">
      <c r="D119" s="282"/>
    </row>
    <row r="120">
      <c r="D120" s="282"/>
    </row>
    <row r="121">
      <c r="D121" s="282"/>
    </row>
    <row r="122">
      <c r="D122" s="282"/>
    </row>
    <row r="123">
      <c r="D123" s="282"/>
    </row>
    <row r="124">
      <c r="D124" s="282"/>
    </row>
    <row r="125">
      <c r="D125" s="282"/>
    </row>
    <row r="126">
      <c r="D126" s="282"/>
    </row>
    <row r="127">
      <c r="D127" s="282"/>
    </row>
    <row r="128">
      <c r="D128" s="282"/>
    </row>
    <row r="129">
      <c r="D129" s="282"/>
    </row>
    <row r="130">
      <c r="D130" s="282"/>
    </row>
    <row r="131">
      <c r="D131" s="282"/>
    </row>
    <row r="132">
      <c r="D132" s="282"/>
    </row>
    <row r="133">
      <c r="D133" s="282"/>
    </row>
    <row r="134">
      <c r="D134" s="282"/>
    </row>
    <row r="135">
      <c r="D135" s="282"/>
    </row>
    <row r="136">
      <c r="D136" s="282"/>
    </row>
    <row r="137">
      <c r="D137" s="282"/>
    </row>
    <row r="138">
      <c r="D138" s="282"/>
    </row>
    <row r="139">
      <c r="D139" s="282"/>
    </row>
    <row r="140">
      <c r="D140" s="282"/>
    </row>
    <row r="141">
      <c r="D141" s="282"/>
    </row>
    <row r="142">
      <c r="D142" s="282"/>
    </row>
    <row r="143">
      <c r="D143" s="282"/>
    </row>
    <row r="144">
      <c r="D144" s="282"/>
    </row>
    <row r="145">
      <c r="D145" s="282"/>
    </row>
    <row r="146">
      <c r="D146" s="282"/>
    </row>
    <row r="147">
      <c r="D147" s="282"/>
    </row>
    <row r="148">
      <c r="D148" s="282"/>
    </row>
    <row r="149">
      <c r="D149" s="282"/>
    </row>
    <row r="150">
      <c r="D150" s="282"/>
    </row>
    <row r="151">
      <c r="D151" s="282"/>
    </row>
    <row r="152">
      <c r="D152" s="282"/>
    </row>
    <row r="153">
      <c r="D153" s="282"/>
    </row>
    <row r="154">
      <c r="D154" s="282"/>
    </row>
    <row r="155">
      <c r="D155" s="282"/>
    </row>
    <row r="156">
      <c r="D156" s="282"/>
    </row>
    <row r="157">
      <c r="D157" s="282"/>
    </row>
    <row r="158">
      <c r="D158" s="282"/>
    </row>
    <row r="159">
      <c r="D159" s="282"/>
    </row>
    <row r="160">
      <c r="D160" s="282"/>
    </row>
    <row r="161">
      <c r="D161" s="282"/>
    </row>
    <row r="162">
      <c r="D162" s="282"/>
    </row>
    <row r="163">
      <c r="D163" s="282"/>
    </row>
    <row r="164">
      <c r="D164" s="282"/>
    </row>
    <row r="165">
      <c r="D165" s="282"/>
    </row>
    <row r="166">
      <c r="D166" s="282"/>
    </row>
    <row r="167">
      <c r="D167" s="282"/>
    </row>
    <row r="168">
      <c r="D168" s="282"/>
    </row>
    <row r="169">
      <c r="D169" s="282"/>
    </row>
    <row r="170">
      <c r="D170" s="282"/>
    </row>
    <row r="171">
      <c r="D171" s="282"/>
    </row>
    <row r="172">
      <c r="D172" s="282"/>
    </row>
    <row r="173">
      <c r="D173" s="282"/>
    </row>
    <row r="174">
      <c r="D174" s="282"/>
    </row>
    <row r="175">
      <c r="D175" s="282"/>
    </row>
    <row r="176">
      <c r="D176" s="282"/>
    </row>
    <row r="177">
      <c r="D177" s="282"/>
    </row>
    <row r="178">
      <c r="D178" s="282"/>
    </row>
    <row r="179">
      <c r="D179" s="282"/>
    </row>
    <row r="180">
      <c r="D180" s="282"/>
    </row>
    <row r="181">
      <c r="D181" s="282"/>
    </row>
    <row r="182">
      <c r="D182" s="282"/>
    </row>
    <row r="183">
      <c r="D183" s="282"/>
    </row>
    <row r="184">
      <c r="D184" s="282"/>
    </row>
    <row r="185">
      <c r="D185" s="282"/>
    </row>
    <row r="186">
      <c r="D186" s="282"/>
    </row>
    <row r="187">
      <c r="D187" s="282"/>
    </row>
    <row r="188">
      <c r="D188" s="282"/>
    </row>
    <row r="189">
      <c r="D189" s="282"/>
    </row>
    <row r="190">
      <c r="D190" s="282"/>
    </row>
    <row r="191">
      <c r="D191" s="282"/>
    </row>
    <row r="192">
      <c r="D192" s="282"/>
    </row>
    <row r="193">
      <c r="D193" s="282"/>
    </row>
    <row r="194">
      <c r="D194" s="282"/>
    </row>
    <row r="195">
      <c r="D195" s="282"/>
    </row>
    <row r="196">
      <c r="D196" s="282"/>
    </row>
    <row r="197">
      <c r="D197" s="282"/>
    </row>
    <row r="198">
      <c r="D198" s="282"/>
    </row>
    <row r="199">
      <c r="D199" s="282"/>
    </row>
    <row r="200">
      <c r="D200" s="282"/>
    </row>
    <row r="201">
      <c r="D201" s="282"/>
    </row>
    <row r="202">
      <c r="D202" s="282"/>
    </row>
    <row r="203">
      <c r="D203" s="282"/>
    </row>
    <row r="204">
      <c r="D204" s="282"/>
    </row>
    <row r="205">
      <c r="D205" s="282"/>
    </row>
    <row r="206">
      <c r="D206" s="282"/>
    </row>
    <row r="207">
      <c r="D207" s="282"/>
    </row>
    <row r="208">
      <c r="D208" s="282"/>
    </row>
    <row r="209">
      <c r="D209" s="282"/>
    </row>
    <row r="210">
      <c r="D210" s="282"/>
    </row>
    <row r="211">
      <c r="D211" s="282"/>
    </row>
    <row r="212">
      <c r="D212" s="282"/>
    </row>
    <row r="213">
      <c r="D213" s="282"/>
    </row>
    <row r="214">
      <c r="D214" s="282"/>
    </row>
    <row r="215">
      <c r="D215" s="282"/>
    </row>
    <row r="216">
      <c r="D216" s="282"/>
    </row>
    <row r="217">
      <c r="D217" s="282"/>
    </row>
    <row r="218">
      <c r="D218" s="282"/>
    </row>
    <row r="219">
      <c r="D219" s="282"/>
    </row>
    <row r="220">
      <c r="D220" s="282"/>
    </row>
    <row r="221">
      <c r="D221" s="282"/>
    </row>
    <row r="222">
      <c r="D222" s="282"/>
    </row>
    <row r="223">
      <c r="D223" s="282"/>
    </row>
    <row r="224">
      <c r="D224" s="282"/>
    </row>
    <row r="225">
      <c r="D225" s="282"/>
    </row>
    <row r="226">
      <c r="D226" s="282"/>
    </row>
    <row r="227">
      <c r="D227" s="282"/>
    </row>
    <row r="228">
      <c r="D228" s="282"/>
    </row>
    <row r="229">
      <c r="D229" s="282"/>
    </row>
    <row r="230">
      <c r="D230" s="282"/>
    </row>
    <row r="231">
      <c r="D231" s="282"/>
    </row>
    <row r="232">
      <c r="D232" s="282"/>
    </row>
    <row r="233">
      <c r="D233" s="282"/>
    </row>
    <row r="234">
      <c r="D234" s="282"/>
    </row>
    <row r="235">
      <c r="D235" s="282"/>
    </row>
    <row r="236">
      <c r="D236" s="282"/>
    </row>
    <row r="237">
      <c r="D237" s="282"/>
    </row>
    <row r="238">
      <c r="D238" s="282"/>
    </row>
    <row r="239">
      <c r="D239" s="282"/>
    </row>
    <row r="240">
      <c r="D240" s="282"/>
    </row>
    <row r="241">
      <c r="D241" s="282"/>
    </row>
    <row r="242">
      <c r="D242" s="282"/>
    </row>
    <row r="243">
      <c r="D243" s="282"/>
    </row>
    <row r="244">
      <c r="D244" s="282"/>
    </row>
    <row r="245">
      <c r="D245" s="282"/>
    </row>
    <row r="246">
      <c r="D246" s="282"/>
    </row>
    <row r="247">
      <c r="D247" s="282"/>
    </row>
    <row r="248">
      <c r="D248" s="282"/>
    </row>
    <row r="249">
      <c r="D249" s="282"/>
    </row>
    <row r="250">
      <c r="D250" s="282"/>
    </row>
    <row r="251">
      <c r="D251" s="282"/>
    </row>
    <row r="252">
      <c r="D252" s="282"/>
    </row>
    <row r="253">
      <c r="D253" s="282"/>
    </row>
    <row r="254">
      <c r="D254" s="282"/>
    </row>
    <row r="255">
      <c r="D255" s="282"/>
    </row>
    <row r="256">
      <c r="D256" s="282"/>
    </row>
    <row r="257">
      <c r="D257" s="282"/>
    </row>
    <row r="258">
      <c r="D258" s="282"/>
    </row>
    <row r="259">
      <c r="D259" s="282"/>
    </row>
    <row r="260">
      <c r="D260" s="282"/>
    </row>
    <row r="261">
      <c r="D261" s="282"/>
    </row>
    <row r="262">
      <c r="D262" s="282"/>
    </row>
    <row r="263">
      <c r="D263" s="282"/>
    </row>
    <row r="264">
      <c r="D264" s="282"/>
    </row>
    <row r="265">
      <c r="D265" s="282"/>
    </row>
    <row r="266">
      <c r="D266" s="282"/>
    </row>
    <row r="267">
      <c r="D267" s="282"/>
    </row>
    <row r="268">
      <c r="D268" s="282"/>
    </row>
    <row r="269">
      <c r="D269" s="282"/>
    </row>
    <row r="270">
      <c r="D270" s="282"/>
    </row>
    <row r="271">
      <c r="D271" s="282"/>
    </row>
    <row r="272">
      <c r="D272" s="282"/>
    </row>
    <row r="273">
      <c r="D273" s="282"/>
    </row>
    <row r="274">
      <c r="D274" s="282"/>
    </row>
    <row r="275">
      <c r="D275" s="282"/>
    </row>
    <row r="276">
      <c r="D276" s="282"/>
    </row>
    <row r="277">
      <c r="D277" s="282"/>
    </row>
    <row r="278">
      <c r="D278" s="282"/>
    </row>
    <row r="279">
      <c r="D279" s="282"/>
    </row>
    <row r="280">
      <c r="D280" s="282"/>
    </row>
    <row r="281">
      <c r="D281" s="282"/>
    </row>
    <row r="282">
      <c r="D282" s="282"/>
    </row>
    <row r="283">
      <c r="D283" s="282"/>
    </row>
    <row r="284">
      <c r="D284" s="282"/>
    </row>
    <row r="285">
      <c r="D285" s="282"/>
    </row>
    <row r="286">
      <c r="D286" s="282"/>
    </row>
    <row r="287">
      <c r="D287" s="282"/>
    </row>
    <row r="288">
      <c r="D288" s="282"/>
    </row>
    <row r="289">
      <c r="D289" s="282"/>
    </row>
    <row r="290">
      <c r="D290" s="282"/>
    </row>
    <row r="291">
      <c r="D291" s="282"/>
    </row>
    <row r="292">
      <c r="D292" s="282"/>
    </row>
    <row r="293">
      <c r="D293" s="282"/>
    </row>
    <row r="294">
      <c r="D294" s="282"/>
    </row>
    <row r="295">
      <c r="D295" s="282"/>
    </row>
    <row r="296">
      <c r="D296" s="282"/>
    </row>
    <row r="297">
      <c r="D297" s="282"/>
    </row>
    <row r="298">
      <c r="D298" s="282"/>
    </row>
    <row r="299">
      <c r="D299" s="282"/>
    </row>
    <row r="300">
      <c r="D300" s="282"/>
    </row>
    <row r="301">
      <c r="D301" s="282"/>
    </row>
    <row r="302">
      <c r="D302" s="282"/>
    </row>
    <row r="303">
      <c r="D303" s="282"/>
    </row>
    <row r="304">
      <c r="D304" s="282"/>
    </row>
    <row r="305">
      <c r="D305" s="282"/>
    </row>
    <row r="306">
      <c r="D306" s="282"/>
    </row>
    <row r="307">
      <c r="D307" s="282"/>
    </row>
    <row r="308">
      <c r="D308" s="282"/>
    </row>
    <row r="309">
      <c r="D309" s="282"/>
    </row>
    <row r="310">
      <c r="D310" s="282"/>
    </row>
    <row r="311">
      <c r="D311" s="282"/>
    </row>
    <row r="312">
      <c r="D312" s="282"/>
    </row>
    <row r="313">
      <c r="D313" s="282"/>
    </row>
    <row r="314">
      <c r="D314" s="282"/>
    </row>
    <row r="315">
      <c r="D315" s="282"/>
    </row>
    <row r="316">
      <c r="D316" s="282"/>
    </row>
    <row r="317">
      <c r="D317" s="282"/>
    </row>
    <row r="318">
      <c r="D318" s="282"/>
    </row>
    <row r="319">
      <c r="D319" s="282"/>
    </row>
    <row r="320">
      <c r="D320" s="282"/>
    </row>
    <row r="321">
      <c r="D321" s="282"/>
    </row>
    <row r="322">
      <c r="D322" s="282"/>
    </row>
    <row r="323">
      <c r="D323" s="282"/>
    </row>
    <row r="324">
      <c r="D324" s="282"/>
    </row>
    <row r="325">
      <c r="D325" s="282"/>
    </row>
    <row r="326">
      <c r="D326" s="282"/>
    </row>
    <row r="327">
      <c r="D327" s="282"/>
    </row>
    <row r="328">
      <c r="D328" s="282"/>
    </row>
    <row r="329">
      <c r="D329" s="282"/>
    </row>
    <row r="330">
      <c r="D330" s="282"/>
    </row>
    <row r="331">
      <c r="D331" s="282"/>
    </row>
    <row r="332">
      <c r="D332" s="282"/>
    </row>
    <row r="333">
      <c r="D333" s="282"/>
    </row>
    <row r="334">
      <c r="D334" s="282"/>
    </row>
    <row r="335">
      <c r="D335" s="282"/>
    </row>
    <row r="336">
      <c r="D336" s="282"/>
    </row>
    <row r="337">
      <c r="D337" s="282"/>
    </row>
    <row r="338">
      <c r="D338" s="282"/>
    </row>
    <row r="339">
      <c r="D339" s="282"/>
    </row>
    <row r="340">
      <c r="D340" s="282"/>
    </row>
    <row r="341">
      <c r="D341" s="282"/>
    </row>
    <row r="342">
      <c r="D342" s="282"/>
    </row>
    <row r="343">
      <c r="D343" s="282"/>
    </row>
    <row r="344">
      <c r="D344" s="282"/>
    </row>
    <row r="345">
      <c r="D345" s="282"/>
    </row>
    <row r="346">
      <c r="D346" s="282"/>
    </row>
    <row r="347">
      <c r="D347" s="282"/>
    </row>
    <row r="348">
      <c r="D348" s="282"/>
    </row>
    <row r="349">
      <c r="D349" s="282"/>
    </row>
    <row r="350">
      <c r="D350" s="282"/>
    </row>
    <row r="351">
      <c r="D351" s="282"/>
    </row>
    <row r="352">
      <c r="D352" s="282"/>
    </row>
    <row r="353">
      <c r="D353" s="282"/>
    </row>
    <row r="354">
      <c r="D354" s="282"/>
    </row>
    <row r="355">
      <c r="D355" s="282"/>
    </row>
    <row r="356">
      <c r="D356" s="282"/>
    </row>
    <row r="357">
      <c r="D357" s="282"/>
    </row>
    <row r="358">
      <c r="D358" s="282"/>
    </row>
    <row r="359">
      <c r="D359" s="282"/>
    </row>
    <row r="360">
      <c r="D360" s="282"/>
    </row>
    <row r="361">
      <c r="D361" s="282"/>
    </row>
    <row r="362">
      <c r="D362" s="282"/>
    </row>
    <row r="363">
      <c r="D363" s="282"/>
    </row>
    <row r="364">
      <c r="D364" s="282"/>
    </row>
    <row r="365">
      <c r="D365" s="282"/>
    </row>
    <row r="366">
      <c r="D366" s="282"/>
    </row>
    <row r="367">
      <c r="D367" s="282"/>
    </row>
    <row r="368">
      <c r="D368" s="282"/>
    </row>
    <row r="369">
      <c r="D369" s="282"/>
    </row>
    <row r="370">
      <c r="D370" s="282"/>
    </row>
    <row r="371">
      <c r="D371" s="282"/>
    </row>
    <row r="372">
      <c r="D372" s="282"/>
    </row>
    <row r="373">
      <c r="D373" s="282"/>
    </row>
    <row r="374">
      <c r="D374" s="282"/>
    </row>
    <row r="375">
      <c r="D375" s="282"/>
    </row>
    <row r="376">
      <c r="D376" s="282"/>
    </row>
    <row r="377">
      <c r="D377" s="282"/>
    </row>
    <row r="378">
      <c r="D378" s="282"/>
    </row>
    <row r="379">
      <c r="D379" s="282"/>
    </row>
    <row r="380">
      <c r="D380" s="282"/>
    </row>
    <row r="381">
      <c r="D381" s="282"/>
    </row>
    <row r="382">
      <c r="D382" s="282"/>
    </row>
    <row r="383">
      <c r="D383" s="282"/>
    </row>
    <row r="384">
      <c r="D384" s="282"/>
    </row>
    <row r="385">
      <c r="D385" s="282"/>
    </row>
    <row r="386">
      <c r="D386" s="282"/>
    </row>
    <row r="387">
      <c r="D387" s="282"/>
    </row>
    <row r="388">
      <c r="D388" s="282"/>
    </row>
    <row r="389">
      <c r="D389" s="282"/>
    </row>
    <row r="390">
      <c r="D390" s="282"/>
    </row>
    <row r="391">
      <c r="D391" s="282"/>
    </row>
    <row r="392">
      <c r="D392" s="282"/>
    </row>
    <row r="393">
      <c r="D393" s="282"/>
    </row>
    <row r="394">
      <c r="D394" s="282"/>
    </row>
    <row r="395">
      <c r="D395" s="282"/>
    </row>
    <row r="396">
      <c r="D396" s="282"/>
    </row>
    <row r="397">
      <c r="D397" s="282"/>
    </row>
    <row r="398">
      <c r="D398" s="282"/>
    </row>
    <row r="399">
      <c r="D399" s="282"/>
    </row>
    <row r="400">
      <c r="D400" s="282"/>
    </row>
    <row r="401">
      <c r="D401" s="282"/>
    </row>
    <row r="402">
      <c r="D402" s="282"/>
    </row>
    <row r="403">
      <c r="D403" s="282"/>
    </row>
    <row r="404">
      <c r="D404" s="282"/>
    </row>
    <row r="405">
      <c r="D405" s="282"/>
    </row>
    <row r="406">
      <c r="D406" s="282"/>
    </row>
    <row r="407">
      <c r="D407" s="282"/>
    </row>
    <row r="408">
      <c r="D408" s="282"/>
    </row>
    <row r="409">
      <c r="D409" s="282"/>
    </row>
    <row r="410">
      <c r="D410" s="282"/>
    </row>
    <row r="411">
      <c r="D411" s="282"/>
    </row>
    <row r="412">
      <c r="D412" s="282"/>
    </row>
    <row r="413">
      <c r="D413" s="282"/>
    </row>
    <row r="414">
      <c r="D414" s="282"/>
    </row>
    <row r="415">
      <c r="D415" s="282"/>
    </row>
    <row r="416">
      <c r="D416" s="282"/>
    </row>
    <row r="417">
      <c r="D417" s="282"/>
    </row>
    <row r="418">
      <c r="D418" s="282"/>
    </row>
    <row r="419">
      <c r="D419" s="282"/>
    </row>
    <row r="420">
      <c r="D420" s="282"/>
    </row>
    <row r="421">
      <c r="D421" s="282"/>
    </row>
    <row r="422">
      <c r="D422" s="282"/>
    </row>
    <row r="423">
      <c r="D423" s="282"/>
    </row>
    <row r="424">
      <c r="D424" s="282"/>
    </row>
    <row r="425">
      <c r="D425" s="282"/>
    </row>
    <row r="426">
      <c r="D426" s="282"/>
    </row>
    <row r="427">
      <c r="D427" s="282"/>
    </row>
    <row r="428">
      <c r="D428" s="282"/>
    </row>
    <row r="429">
      <c r="D429" s="282"/>
    </row>
    <row r="430">
      <c r="D430" s="282"/>
    </row>
    <row r="431">
      <c r="D431" s="282"/>
    </row>
    <row r="432">
      <c r="D432" s="282"/>
    </row>
    <row r="433">
      <c r="D433" s="282"/>
    </row>
    <row r="434">
      <c r="D434" s="282"/>
    </row>
    <row r="435">
      <c r="D435" s="282"/>
    </row>
    <row r="436">
      <c r="D436" s="282"/>
    </row>
    <row r="437">
      <c r="D437" s="282"/>
    </row>
    <row r="438">
      <c r="D438" s="282"/>
    </row>
    <row r="439">
      <c r="D439" s="282"/>
    </row>
    <row r="440">
      <c r="D440" s="282"/>
    </row>
    <row r="441">
      <c r="D441" s="282"/>
    </row>
    <row r="442">
      <c r="D442" s="282"/>
    </row>
    <row r="443">
      <c r="D443" s="282"/>
    </row>
    <row r="444">
      <c r="D444" s="282"/>
    </row>
    <row r="445">
      <c r="D445" s="282"/>
    </row>
    <row r="446">
      <c r="D446" s="282"/>
    </row>
    <row r="447">
      <c r="D447" s="282"/>
    </row>
    <row r="448">
      <c r="D448" s="282"/>
    </row>
    <row r="449">
      <c r="D449" s="282"/>
    </row>
    <row r="450">
      <c r="D450" s="282"/>
    </row>
    <row r="451">
      <c r="D451" s="282"/>
    </row>
    <row r="452">
      <c r="D452" s="282"/>
    </row>
    <row r="453">
      <c r="D453" s="282"/>
    </row>
    <row r="454">
      <c r="D454" s="282"/>
    </row>
    <row r="455">
      <c r="D455" s="282"/>
    </row>
    <row r="456">
      <c r="D456" s="282"/>
    </row>
    <row r="457">
      <c r="D457" s="282"/>
    </row>
    <row r="458">
      <c r="D458" s="282"/>
    </row>
    <row r="459">
      <c r="D459" s="282"/>
    </row>
    <row r="460">
      <c r="D460" s="282"/>
    </row>
    <row r="461">
      <c r="D461" s="282"/>
    </row>
    <row r="462">
      <c r="D462" s="282"/>
    </row>
    <row r="463">
      <c r="D463" s="282"/>
    </row>
    <row r="464">
      <c r="D464" s="282"/>
    </row>
    <row r="465">
      <c r="D465" s="282"/>
    </row>
    <row r="466">
      <c r="D466" s="282"/>
    </row>
    <row r="467">
      <c r="D467" s="282"/>
    </row>
    <row r="468">
      <c r="D468" s="282"/>
    </row>
    <row r="469">
      <c r="D469" s="282"/>
    </row>
    <row r="470">
      <c r="D470" s="282"/>
    </row>
    <row r="471">
      <c r="D471" s="282"/>
    </row>
    <row r="472">
      <c r="D472" s="282"/>
    </row>
    <row r="473">
      <c r="D473" s="282"/>
    </row>
    <row r="474">
      <c r="D474" s="282"/>
    </row>
    <row r="475">
      <c r="D475" s="282"/>
    </row>
    <row r="476">
      <c r="D476" s="282"/>
    </row>
    <row r="477">
      <c r="D477" s="282"/>
    </row>
    <row r="478">
      <c r="D478" s="282"/>
    </row>
    <row r="479">
      <c r="D479" s="282"/>
    </row>
    <row r="480">
      <c r="D480" s="282"/>
    </row>
    <row r="481">
      <c r="D481" s="282"/>
    </row>
    <row r="482">
      <c r="D482" s="282"/>
    </row>
    <row r="483">
      <c r="D483" s="282"/>
    </row>
    <row r="484">
      <c r="D484" s="282"/>
    </row>
    <row r="485">
      <c r="D485" s="282"/>
    </row>
    <row r="486">
      <c r="D486" s="282"/>
    </row>
    <row r="487">
      <c r="D487" s="282"/>
    </row>
    <row r="488">
      <c r="D488" s="282"/>
    </row>
    <row r="489">
      <c r="D489" s="282"/>
    </row>
    <row r="490">
      <c r="D490" s="282"/>
    </row>
    <row r="491">
      <c r="D491" s="282"/>
    </row>
    <row r="492">
      <c r="D492" s="282"/>
    </row>
    <row r="493">
      <c r="D493" s="282"/>
    </row>
    <row r="494">
      <c r="D494" s="282"/>
    </row>
    <row r="495">
      <c r="D495" s="282"/>
    </row>
    <row r="496">
      <c r="D496" s="282"/>
    </row>
    <row r="497">
      <c r="D497" s="282"/>
    </row>
    <row r="498">
      <c r="D498" s="282"/>
    </row>
    <row r="499">
      <c r="D499" s="282"/>
    </row>
    <row r="500">
      <c r="D500" s="282"/>
    </row>
    <row r="501">
      <c r="D501" s="282"/>
    </row>
    <row r="502">
      <c r="D502" s="282"/>
    </row>
    <row r="503">
      <c r="D503" s="282"/>
    </row>
    <row r="504">
      <c r="D504" s="282"/>
    </row>
    <row r="505">
      <c r="D505" s="282"/>
    </row>
    <row r="506">
      <c r="D506" s="282"/>
    </row>
    <row r="507">
      <c r="D507" s="282"/>
    </row>
    <row r="508">
      <c r="D508" s="282"/>
    </row>
    <row r="509">
      <c r="D509" s="282"/>
    </row>
    <row r="510">
      <c r="D510" s="282"/>
    </row>
    <row r="511">
      <c r="D511" s="282"/>
    </row>
    <row r="512">
      <c r="D512" s="282"/>
    </row>
    <row r="513">
      <c r="D513" s="282"/>
    </row>
    <row r="514">
      <c r="D514" s="282"/>
    </row>
    <row r="515">
      <c r="D515" s="282"/>
    </row>
    <row r="516">
      <c r="D516" s="282"/>
    </row>
    <row r="517">
      <c r="D517" s="282"/>
    </row>
    <row r="518">
      <c r="D518" s="282"/>
    </row>
    <row r="519">
      <c r="D519" s="282"/>
    </row>
    <row r="520">
      <c r="D520" s="282"/>
    </row>
    <row r="521">
      <c r="D521" s="282"/>
    </row>
    <row r="522">
      <c r="D522" s="282"/>
    </row>
    <row r="523">
      <c r="D523" s="282"/>
    </row>
    <row r="524">
      <c r="D524" s="282"/>
    </row>
    <row r="525">
      <c r="D525" s="282"/>
    </row>
    <row r="526">
      <c r="D526" s="282"/>
    </row>
    <row r="527">
      <c r="D527" s="282"/>
    </row>
    <row r="528">
      <c r="D528" s="282"/>
    </row>
    <row r="529">
      <c r="D529" s="282"/>
    </row>
    <row r="530">
      <c r="D530" s="282"/>
    </row>
    <row r="531">
      <c r="D531" s="282"/>
    </row>
    <row r="532">
      <c r="D532" s="282"/>
    </row>
    <row r="533">
      <c r="D533" s="282"/>
    </row>
    <row r="534">
      <c r="D534" s="282"/>
    </row>
    <row r="535">
      <c r="D535" s="282"/>
    </row>
    <row r="536">
      <c r="D536" s="282"/>
    </row>
    <row r="537">
      <c r="D537" s="282"/>
    </row>
    <row r="538">
      <c r="D538" s="282"/>
    </row>
    <row r="539">
      <c r="D539" s="282"/>
    </row>
    <row r="540">
      <c r="D540" s="282"/>
    </row>
    <row r="541">
      <c r="D541" s="282"/>
    </row>
    <row r="542">
      <c r="D542" s="282"/>
    </row>
    <row r="543">
      <c r="D543" s="282"/>
    </row>
    <row r="544">
      <c r="D544" s="282"/>
    </row>
    <row r="545">
      <c r="D545" s="282"/>
    </row>
    <row r="546">
      <c r="D546" s="282"/>
    </row>
    <row r="547">
      <c r="D547" s="282"/>
    </row>
    <row r="548">
      <c r="D548" s="282"/>
    </row>
    <row r="549">
      <c r="D549" s="282"/>
    </row>
    <row r="550">
      <c r="D550" s="282"/>
    </row>
    <row r="551">
      <c r="D551" s="282"/>
    </row>
    <row r="552">
      <c r="D552" s="282"/>
    </row>
    <row r="553">
      <c r="D553" s="282"/>
    </row>
    <row r="554">
      <c r="D554" s="282"/>
    </row>
    <row r="555">
      <c r="D555" s="282"/>
    </row>
    <row r="556">
      <c r="D556" s="282"/>
    </row>
    <row r="557">
      <c r="D557" s="282"/>
    </row>
    <row r="558">
      <c r="D558" s="282"/>
    </row>
    <row r="559">
      <c r="D559" s="282"/>
    </row>
    <row r="560">
      <c r="D560" s="282"/>
    </row>
    <row r="561">
      <c r="D561" s="282"/>
    </row>
    <row r="562">
      <c r="D562" s="282"/>
    </row>
    <row r="563">
      <c r="D563" s="282"/>
    </row>
    <row r="564">
      <c r="D564" s="282"/>
    </row>
    <row r="565">
      <c r="D565" s="282"/>
    </row>
    <row r="566">
      <c r="D566" s="282"/>
    </row>
    <row r="567">
      <c r="D567" s="282"/>
    </row>
    <row r="568">
      <c r="D568" s="282"/>
    </row>
    <row r="569">
      <c r="D569" s="282"/>
    </row>
    <row r="570">
      <c r="D570" s="282"/>
    </row>
    <row r="571">
      <c r="D571" s="282"/>
    </row>
    <row r="572">
      <c r="D572" s="282"/>
    </row>
    <row r="573">
      <c r="D573" s="282"/>
    </row>
    <row r="574">
      <c r="D574" s="282"/>
    </row>
    <row r="575">
      <c r="D575" s="282"/>
    </row>
    <row r="576">
      <c r="D576" s="282"/>
    </row>
    <row r="577">
      <c r="D577" s="282"/>
    </row>
    <row r="578">
      <c r="D578" s="282"/>
    </row>
    <row r="579">
      <c r="D579" s="282"/>
    </row>
    <row r="580">
      <c r="D580" s="282"/>
    </row>
    <row r="581">
      <c r="D581" s="282"/>
    </row>
    <row r="582">
      <c r="D582" s="282"/>
    </row>
    <row r="583">
      <c r="D583" s="282"/>
    </row>
    <row r="584">
      <c r="D584" s="282"/>
    </row>
    <row r="585">
      <c r="D585" s="282"/>
    </row>
    <row r="586">
      <c r="D586" s="282"/>
    </row>
    <row r="587">
      <c r="D587" s="282"/>
    </row>
    <row r="588">
      <c r="D588" s="282"/>
    </row>
    <row r="589">
      <c r="D589" s="282"/>
    </row>
    <row r="590">
      <c r="D590" s="282"/>
    </row>
    <row r="591">
      <c r="D591" s="282"/>
    </row>
    <row r="592">
      <c r="D592" s="282"/>
    </row>
    <row r="593">
      <c r="D593" s="282"/>
    </row>
    <row r="594">
      <c r="D594" s="282"/>
    </row>
    <row r="595">
      <c r="D595" s="282"/>
    </row>
    <row r="596">
      <c r="D596" s="282"/>
    </row>
    <row r="597">
      <c r="D597" s="282"/>
    </row>
    <row r="598">
      <c r="D598" s="282"/>
    </row>
    <row r="599">
      <c r="D599" s="282"/>
    </row>
    <row r="600">
      <c r="D600" s="282"/>
    </row>
    <row r="601">
      <c r="D601" s="282"/>
    </row>
    <row r="602">
      <c r="D602" s="282"/>
    </row>
    <row r="603">
      <c r="D603" s="282"/>
    </row>
    <row r="604">
      <c r="D604" s="282"/>
    </row>
    <row r="605">
      <c r="D605" s="282"/>
    </row>
    <row r="606">
      <c r="D606" s="282"/>
    </row>
    <row r="607">
      <c r="D607" s="282"/>
    </row>
    <row r="608">
      <c r="D608" s="282"/>
    </row>
    <row r="609">
      <c r="D609" s="282"/>
    </row>
    <row r="610">
      <c r="D610" s="282"/>
    </row>
    <row r="611">
      <c r="D611" s="282"/>
    </row>
    <row r="612">
      <c r="D612" s="282"/>
    </row>
    <row r="613">
      <c r="D613" s="282"/>
    </row>
    <row r="614">
      <c r="D614" s="282"/>
    </row>
    <row r="615">
      <c r="D615" s="282"/>
    </row>
    <row r="616">
      <c r="D616" s="282"/>
    </row>
    <row r="617">
      <c r="D617" s="282"/>
    </row>
    <row r="618">
      <c r="D618" s="282"/>
    </row>
    <row r="619">
      <c r="D619" s="282"/>
    </row>
    <row r="620">
      <c r="D620" s="282"/>
    </row>
    <row r="621">
      <c r="D621" s="282"/>
    </row>
    <row r="622">
      <c r="D622" s="282"/>
    </row>
    <row r="623">
      <c r="D623" s="282"/>
    </row>
    <row r="624">
      <c r="D624" s="282"/>
    </row>
    <row r="625">
      <c r="D625" s="282"/>
    </row>
    <row r="626">
      <c r="D626" s="282"/>
    </row>
    <row r="627">
      <c r="D627" s="282"/>
    </row>
    <row r="628">
      <c r="D628" s="282"/>
    </row>
    <row r="629">
      <c r="D629" s="282"/>
    </row>
    <row r="630">
      <c r="D630" s="282"/>
    </row>
    <row r="631">
      <c r="D631" s="282"/>
    </row>
    <row r="632">
      <c r="D632" s="282"/>
    </row>
    <row r="633">
      <c r="D633" s="282"/>
    </row>
    <row r="634">
      <c r="D634" s="282"/>
    </row>
    <row r="635">
      <c r="D635" s="282"/>
    </row>
    <row r="636">
      <c r="D636" s="282"/>
    </row>
    <row r="637">
      <c r="D637" s="282"/>
    </row>
    <row r="638">
      <c r="D638" s="282"/>
    </row>
    <row r="639">
      <c r="D639" s="282"/>
    </row>
    <row r="640">
      <c r="D640" s="282"/>
    </row>
    <row r="641">
      <c r="D641" s="282"/>
    </row>
    <row r="642">
      <c r="D642" s="282"/>
    </row>
    <row r="643">
      <c r="D643" s="282"/>
    </row>
    <row r="644">
      <c r="D644" s="282"/>
    </row>
    <row r="645">
      <c r="D645" s="282"/>
    </row>
    <row r="646">
      <c r="D646" s="282"/>
    </row>
    <row r="647">
      <c r="D647" s="282"/>
    </row>
    <row r="648">
      <c r="D648" s="282"/>
    </row>
    <row r="649">
      <c r="D649" s="282"/>
    </row>
    <row r="650">
      <c r="D650" s="282"/>
    </row>
    <row r="651">
      <c r="D651" s="282"/>
    </row>
    <row r="652">
      <c r="D652" s="282"/>
    </row>
    <row r="653">
      <c r="D653" s="282"/>
    </row>
    <row r="654">
      <c r="D654" s="282"/>
    </row>
    <row r="655">
      <c r="D655" s="282"/>
    </row>
    <row r="656">
      <c r="D656" s="282"/>
    </row>
    <row r="657">
      <c r="D657" s="282"/>
    </row>
    <row r="658">
      <c r="D658" s="282"/>
    </row>
    <row r="659">
      <c r="D659" s="282"/>
    </row>
    <row r="660">
      <c r="D660" s="282"/>
    </row>
    <row r="661">
      <c r="D661" s="282"/>
    </row>
    <row r="662">
      <c r="D662" s="282"/>
    </row>
    <row r="663">
      <c r="D663" s="282"/>
    </row>
    <row r="664">
      <c r="D664" s="282"/>
    </row>
    <row r="665">
      <c r="D665" s="282"/>
    </row>
    <row r="666">
      <c r="D666" s="282"/>
    </row>
    <row r="667">
      <c r="D667" s="282"/>
    </row>
    <row r="668">
      <c r="D668" s="282"/>
    </row>
    <row r="669">
      <c r="D669" s="282"/>
    </row>
    <row r="670">
      <c r="D670" s="282"/>
    </row>
    <row r="671">
      <c r="D671" s="282"/>
    </row>
    <row r="672">
      <c r="D672" s="282"/>
    </row>
    <row r="673">
      <c r="D673" s="282"/>
    </row>
    <row r="674">
      <c r="D674" s="282"/>
    </row>
    <row r="675">
      <c r="D675" s="282"/>
    </row>
    <row r="676">
      <c r="D676" s="282"/>
    </row>
    <row r="677">
      <c r="D677" s="282"/>
    </row>
    <row r="678">
      <c r="D678" s="282"/>
    </row>
    <row r="679">
      <c r="D679" s="282"/>
    </row>
    <row r="680">
      <c r="D680" s="282"/>
    </row>
    <row r="681">
      <c r="D681" s="282"/>
    </row>
    <row r="682">
      <c r="D682" s="282"/>
    </row>
    <row r="683">
      <c r="D683" s="282"/>
    </row>
    <row r="684">
      <c r="D684" s="282"/>
    </row>
    <row r="685">
      <c r="D685" s="282"/>
    </row>
    <row r="686">
      <c r="D686" s="282"/>
    </row>
    <row r="687">
      <c r="D687" s="282"/>
    </row>
    <row r="688">
      <c r="D688" s="282"/>
    </row>
    <row r="689">
      <c r="D689" s="282"/>
    </row>
    <row r="690">
      <c r="D690" s="282"/>
    </row>
    <row r="691">
      <c r="D691" s="282"/>
    </row>
    <row r="692">
      <c r="D692" s="282"/>
    </row>
    <row r="693">
      <c r="D693" s="282"/>
    </row>
    <row r="694">
      <c r="D694" s="282"/>
    </row>
    <row r="695">
      <c r="D695" s="282"/>
    </row>
    <row r="696">
      <c r="D696" s="282"/>
    </row>
    <row r="697">
      <c r="D697" s="282"/>
    </row>
    <row r="698">
      <c r="D698" s="282"/>
    </row>
    <row r="699">
      <c r="D699" s="282"/>
    </row>
    <row r="700">
      <c r="D700" s="282"/>
    </row>
    <row r="701">
      <c r="D701" s="282"/>
    </row>
    <row r="702">
      <c r="D702" s="282"/>
    </row>
    <row r="703">
      <c r="D703" s="282"/>
    </row>
    <row r="704">
      <c r="D704" s="282"/>
    </row>
    <row r="705">
      <c r="D705" s="282"/>
    </row>
    <row r="706">
      <c r="D706" s="282"/>
    </row>
    <row r="707">
      <c r="D707" s="282"/>
    </row>
    <row r="708">
      <c r="D708" s="282"/>
    </row>
    <row r="709">
      <c r="D709" s="282"/>
    </row>
    <row r="710">
      <c r="D710" s="282"/>
    </row>
    <row r="711">
      <c r="D711" s="282"/>
    </row>
    <row r="712">
      <c r="D712" s="282"/>
    </row>
    <row r="713">
      <c r="D713" s="282"/>
    </row>
    <row r="714">
      <c r="D714" s="282"/>
    </row>
    <row r="715">
      <c r="D715" s="282"/>
    </row>
    <row r="716">
      <c r="D716" s="282"/>
    </row>
    <row r="717">
      <c r="D717" s="282"/>
    </row>
    <row r="718">
      <c r="D718" s="282"/>
    </row>
    <row r="719">
      <c r="D719" s="282"/>
    </row>
    <row r="720">
      <c r="D720" s="282"/>
    </row>
    <row r="721">
      <c r="D721" s="282"/>
    </row>
    <row r="722">
      <c r="D722" s="282"/>
    </row>
    <row r="723">
      <c r="D723" s="282"/>
    </row>
    <row r="724">
      <c r="D724" s="282"/>
    </row>
    <row r="725">
      <c r="D725" s="282"/>
    </row>
    <row r="726">
      <c r="D726" s="282"/>
    </row>
    <row r="727">
      <c r="D727" s="282"/>
    </row>
    <row r="728">
      <c r="D728" s="282"/>
    </row>
    <row r="729">
      <c r="D729" s="282"/>
    </row>
    <row r="730">
      <c r="D730" s="282"/>
    </row>
    <row r="731">
      <c r="D731" s="282"/>
    </row>
    <row r="732">
      <c r="D732" s="282"/>
    </row>
    <row r="733">
      <c r="D733" s="282"/>
    </row>
    <row r="734">
      <c r="D734" s="282"/>
    </row>
    <row r="735">
      <c r="D735" s="282"/>
    </row>
    <row r="736">
      <c r="D736" s="282"/>
    </row>
    <row r="737">
      <c r="D737" s="282"/>
    </row>
    <row r="738">
      <c r="D738" s="282"/>
    </row>
    <row r="739">
      <c r="D739" s="282"/>
    </row>
    <row r="740">
      <c r="D740" s="282"/>
    </row>
    <row r="741">
      <c r="D741" s="282"/>
    </row>
    <row r="742">
      <c r="D742" s="282"/>
    </row>
    <row r="743">
      <c r="D743" s="282"/>
    </row>
    <row r="744">
      <c r="D744" s="282"/>
    </row>
    <row r="745">
      <c r="D745" s="282"/>
    </row>
    <row r="746">
      <c r="D746" s="282"/>
    </row>
    <row r="747">
      <c r="D747" s="282"/>
    </row>
    <row r="748">
      <c r="D748" s="282"/>
    </row>
    <row r="749">
      <c r="D749" s="282"/>
    </row>
    <row r="750">
      <c r="D750" s="282"/>
    </row>
    <row r="751">
      <c r="D751" s="282"/>
    </row>
    <row r="752">
      <c r="D752" s="282"/>
    </row>
    <row r="753">
      <c r="D753" s="282"/>
    </row>
    <row r="754">
      <c r="D754" s="282"/>
    </row>
    <row r="755">
      <c r="D755" s="282"/>
    </row>
    <row r="756">
      <c r="D756" s="282"/>
    </row>
    <row r="757">
      <c r="D757" s="282"/>
    </row>
    <row r="758">
      <c r="D758" s="282"/>
    </row>
    <row r="759">
      <c r="D759" s="282"/>
    </row>
    <row r="760">
      <c r="D760" s="282"/>
    </row>
    <row r="761">
      <c r="D761" s="282"/>
    </row>
    <row r="762">
      <c r="D762" s="282"/>
    </row>
    <row r="763">
      <c r="D763" s="282"/>
    </row>
    <row r="764">
      <c r="D764" s="282"/>
    </row>
    <row r="765">
      <c r="D765" s="282"/>
    </row>
    <row r="766">
      <c r="D766" s="282"/>
    </row>
    <row r="767">
      <c r="D767" s="282"/>
    </row>
    <row r="768">
      <c r="D768" s="282"/>
    </row>
    <row r="769">
      <c r="D769" s="282"/>
    </row>
    <row r="770">
      <c r="D770" s="282"/>
    </row>
    <row r="771">
      <c r="D771" s="282"/>
    </row>
    <row r="772">
      <c r="D772" s="282"/>
    </row>
    <row r="773">
      <c r="D773" s="282"/>
    </row>
    <row r="774">
      <c r="D774" s="282"/>
    </row>
    <row r="775">
      <c r="D775" s="282"/>
    </row>
    <row r="776">
      <c r="D776" s="282"/>
    </row>
    <row r="777">
      <c r="D777" s="282"/>
    </row>
    <row r="778">
      <c r="D778" s="282"/>
    </row>
    <row r="779">
      <c r="D779" s="282"/>
    </row>
    <row r="780">
      <c r="D780" s="282"/>
    </row>
    <row r="781">
      <c r="D781" s="282"/>
    </row>
    <row r="782">
      <c r="D782" s="282"/>
    </row>
    <row r="783">
      <c r="D783" s="282"/>
    </row>
    <row r="784">
      <c r="D784" s="282"/>
    </row>
    <row r="785">
      <c r="D785" s="282"/>
    </row>
    <row r="786">
      <c r="D786" s="282"/>
    </row>
    <row r="787">
      <c r="D787" s="282"/>
    </row>
    <row r="788">
      <c r="D788" s="282"/>
    </row>
    <row r="789">
      <c r="D789" s="282"/>
    </row>
    <row r="790">
      <c r="D790" s="282"/>
    </row>
    <row r="791">
      <c r="D791" s="282"/>
    </row>
    <row r="792">
      <c r="D792" s="282"/>
    </row>
    <row r="793">
      <c r="D793" s="282"/>
    </row>
    <row r="794">
      <c r="D794" s="282"/>
    </row>
    <row r="795">
      <c r="D795" s="282"/>
    </row>
    <row r="796">
      <c r="D796" s="282"/>
    </row>
    <row r="797">
      <c r="D797" s="282"/>
    </row>
    <row r="798">
      <c r="D798" s="282"/>
    </row>
    <row r="799">
      <c r="D799" s="282"/>
    </row>
    <row r="800">
      <c r="D800" s="282"/>
    </row>
    <row r="801">
      <c r="D801" s="282"/>
    </row>
    <row r="802">
      <c r="D802" s="282"/>
    </row>
    <row r="803">
      <c r="D803" s="282"/>
    </row>
    <row r="804">
      <c r="D804" s="282"/>
    </row>
    <row r="805">
      <c r="D805" s="282"/>
    </row>
    <row r="806">
      <c r="D806" s="282"/>
    </row>
    <row r="807">
      <c r="D807" s="282"/>
    </row>
    <row r="808">
      <c r="D808" s="282"/>
    </row>
    <row r="809">
      <c r="D809" s="282"/>
    </row>
    <row r="810">
      <c r="D810" s="282"/>
    </row>
    <row r="811">
      <c r="D811" s="282"/>
    </row>
    <row r="812">
      <c r="D812" s="282"/>
    </row>
    <row r="813">
      <c r="D813" s="282"/>
    </row>
    <row r="814">
      <c r="D814" s="282"/>
    </row>
    <row r="815">
      <c r="D815" s="282"/>
    </row>
    <row r="816">
      <c r="D816" s="282"/>
    </row>
    <row r="817">
      <c r="D817" s="282"/>
    </row>
    <row r="818">
      <c r="D818" s="282"/>
    </row>
    <row r="819">
      <c r="D819" s="282"/>
    </row>
    <row r="820">
      <c r="D820" s="282"/>
    </row>
    <row r="821">
      <c r="D821" s="282"/>
    </row>
    <row r="822">
      <c r="D822" s="282"/>
    </row>
    <row r="823">
      <c r="D823" s="282"/>
    </row>
    <row r="824">
      <c r="D824" s="282"/>
    </row>
    <row r="825">
      <c r="D825" s="282"/>
    </row>
    <row r="826">
      <c r="D826" s="282"/>
    </row>
    <row r="827">
      <c r="D827" s="282"/>
    </row>
    <row r="828">
      <c r="D828" s="282"/>
    </row>
    <row r="829">
      <c r="D829" s="282"/>
    </row>
    <row r="830">
      <c r="D830" s="282"/>
    </row>
    <row r="831">
      <c r="D831" s="282"/>
    </row>
    <row r="832">
      <c r="D832" s="282"/>
    </row>
    <row r="833">
      <c r="D833" s="282"/>
    </row>
    <row r="834">
      <c r="D834" s="282"/>
    </row>
    <row r="835">
      <c r="D835" s="282"/>
    </row>
    <row r="836">
      <c r="D836" s="282"/>
    </row>
    <row r="837">
      <c r="D837" s="282"/>
    </row>
    <row r="838">
      <c r="D838" s="282"/>
    </row>
    <row r="839">
      <c r="D839" s="282"/>
    </row>
    <row r="840">
      <c r="D840" s="282"/>
    </row>
    <row r="841">
      <c r="D841" s="282"/>
    </row>
    <row r="842">
      <c r="D842" s="282"/>
    </row>
    <row r="843">
      <c r="D843" s="282"/>
    </row>
    <row r="844">
      <c r="D844" s="282"/>
    </row>
    <row r="845">
      <c r="D845" s="282"/>
    </row>
    <row r="846">
      <c r="D846" s="282"/>
    </row>
    <row r="847">
      <c r="D847" s="282"/>
    </row>
    <row r="848">
      <c r="D848" s="282"/>
    </row>
    <row r="849">
      <c r="D849" s="282"/>
    </row>
    <row r="850">
      <c r="D850" s="282"/>
    </row>
    <row r="851">
      <c r="D851" s="282"/>
    </row>
    <row r="852">
      <c r="D852" s="282"/>
    </row>
    <row r="853">
      <c r="D853" s="282"/>
    </row>
    <row r="854">
      <c r="D854" s="282"/>
    </row>
    <row r="855">
      <c r="D855" s="282"/>
    </row>
    <row r="856">
      <c r="D856" s="282"/>
    </row>
    <row r="857">
      <c r="D857" s="282"/>
    </row>
    <row r="858">
      <c r="D858" s="282"/>
    </row>
    <row r="859">
      <c r="D859" s="282"/>
    </row>
    <row r="860">
      <c r="D860" s="282"/>
    </row>
    <row r="861">
      <c r="D861" s="282"/>
    </row>
    <row r="862">
      <c r="D862" s="282"/>
    </row>
    <row r="863">
      <c r="D863" s="282"/>
    </row>
    <row r="864">
      <c r="D864" s="282"/>
    </row>
    <row r="865">
      <c r="D865" s="282"/>
    </row>
    <row r="866">
      <c r="D866" s="282"/>
    </row>
    <row r="867">
      <c r="D867" s="282"/>
    </row>
    <row r="868">
      <c r="D868" s="282"/>
    </row>
    <row r="869">
      <c r="D869" s="282"/>
    </row>
    <row r="870">
      <c r="D870" s="282"/>
    </row>
    <row r="871">
      <c r="D871" s="282"/>
    </row>
    <row r="872">
      <c r="D872" s="282"/>
    </row>
    <row r="873">
      <c r="D873" s="282"/>
    </row>
    <row r="874">
      <c r="D874" s="282"/>
    </row>
    <row r="875">
      <c r="D875" s="282"/>
    </row>
    <row r="876">
      <c r="D876" s="282"/>
    </row>
    <row r="877">
      <c r="D877" s="282"/>
    </row>
    <row r="878">
      <c r="D878" s="282"/>
    </row>
    <row r="879">
      <c r="D879" s="282"/>
    </row>
    <row r="880">
      <c r="D880" s="282"/>
    </row>
    <row r="881">
      <c r="D881" s="282"/>
    </row>
    <row r="882">
      <c r="D882" s="282"/>
    </row>
    <row r="883">
      <c r="D883" s="282"/>
    </row>
    <row r="884">
      <c r="D884" s="282"/>
    </row>
    <row r="885">
      <c r="D885" s="282"/>
    </row>
    <row r="886">
      <c r="D886" s="282"/>
    </row>
    <row r="887">
      <c r="D887" s="282"/>
    </row>
    <row r="888">
      <c r="D888" s="282"/>
    </row>
    <row r="889">
      <c r="D889" s="282"/>
    </row>
    <row r="890">
      <c r="D890" s="282"/>
    </row>
    <row r="891">
      <c r="D891" s="282"/>
    </row>
    <row r="892">
      <c r="D892" s="282"/>
    </row>
    <row r="893">
      <c r="D893" s="282"/>
    </row>
    <row r="894">
      <c r="D894" s="282"/>
    </row>
    <row r="895">
      <c r="D895" s="282"/>
    </row>
    <row r="896">
      <c r="D896" s="282"/>
    </row>
    <row r="897">
      <c r="D897" s="282"/>
    </row>
    <row r="898">
      <c r="D898" s="282"/>
    </row>
    <row r="899">
      <c r="D899" s="282"/>
    </row>
    <row r="900">
      <c r="D900" s="282"/>
    </row>
    <row r="901">
      <c r="D901" s="282"/>
    </row>
    <row r="902">
      <c r="D902" s="282"/>
    </row>
    <row r="903">
      <c r="D903" s="282"/>
    </row>
    <row r="904">
      <c r="D904" s="282"/>
    </row>
    <row r="905">
      <c r="D905" s="282"/>
    </row>
    <row r="906">
      <c r="D906" s="282"/>
    </row>
    <row r="907">
      <c r="D907" s="282"/>
    </row>
    <row r="908">
      <c r="D908" s="282"/>
    </row>
    <row r="909">
      <c r="D909" s="282"/>
    </row>
    <row r="910">
      <c r="D910" s="282"/>
    </row>
    <row r="911">
      <c r="D911" s="282"/>
    </row>
    <row r="912">
      <c r="D912" s="282"/>
    </row>
    <row r="913">
      <c r="D913" s="282"/>
    </row>
    <row r="914">
      <c r="D914" s="282"/>
    </row>
    <row r="915">
      <c r="D915" s="282"/>
    </row>
    <row r="916">
      <c r="D916" s="282"/>
    </row>
    <row r="917">
      <c r="D917" s="282"/>
    </row>
    <row r="918">
      <c r="D918" s="282"/>
    </row>
    <row r="919">
      <c r="D919" s="282"/>
    </row>
    <row r="920">
      <c r="D920" s="282"/>
    </row>
    <row r="921">
      <c r="D921" s="282"/>
    </row>
    <row r="922">
      <c r="D922" s="282"/>
    </row>
    <row r="923">
      <c r="D923" s="282"/>
    </row>
    <row r="924">
      <c r="D924" s="282"/>
    </row>
    <row r="925">
      <c r="D925" s="282"/>
    </row>
    <row r="926">
      <c r="D926" s="282"/>
    </row>
    <row r="927">
      <c r="D927" s="282"/>
    </row>
    <row r="928">
      <c r="D928" s="282"/>
    </row>
    <row r="929">
      <c r="D929" s="282"/>
    </row>
    <row r="930">
      <c r="D930" s="282"/>
    </row>
    <row r="931">
      <c r="D931" s="282"/>
    </row>
    <row r="932">
      <c r="D932" s="282"/>
    </row>
    <row r="933">
      <c r="D933" s="282"/>
    </row>
    <row r="934">
      <c r="D934" s="282"/>
    </row>
    <row r="935">
      <c r="D935" s="282"/>
    </row>
    <row r="936">
      <c r="D936" s="282"/>
    </row>
    <row r="937">
      <c r="D937" s="282"/>
    </row>
    <row r="938">
      <c r="D938" s="282"/>
    </row>
    <row r="939">
      <c r="D939" s="282"/>
    </row>
    <row r="940">
      <c r="D940" s="282"/>
    </row>
    <row r="941">
      <c r="D941" s="282"/>
    </row>
    <row r="942">
      <c r="D942" s="282"/>
    </row>
    <row r="943">
      <c r="D943" s="282"/>
    </row>
    <row r="944">
      <c r="D944" s="282"/>
    </row>
    <row r="945">
      <c r="D945" s="282"/>
    </row>
    <row r="946">
      <c r="D946" s="282"/>
    </row>
    <row r="947">
      <c r="D947" s="282"/>
    </row>
    <row r="948">
      <c r="D948" s="282"/>
    </row>
    <row r="949">
      <c r="D949" s="282"/>
    </row>
    <row r="950">
      <c r="D950" s="282"/>
    </row>
    <row r="951">
      <c r="D951" s="282"/>
    </row>
    <row r="952">
      <c r="D952" s="282"/>
    </row>
    <row r="953">
      <c r="D953" s="282"/>
    </row>
    <row r="954">
      <c r="D954" s="282"/>
    </row>
    <row r="955">
      <c r="D955" s="282"/>
    </row>
    <row r="956">
      <c r="D956" s="282"/>
    </row>
    <row r="957">
      <c r="D957" s="282"/>
    </row>
    <row r="958">
      <c r="D958" s="282"/>
    </row>
    <row r="959">
      <c r="D959" s="282"/>
    </row>
    <row r="960">
      <c r="D960" s="282"/>
    </row>
    <row r="961">
      <c r="D961" s="282"/>
    </row>
    <row r="962">
      <c r="D962" s="282"/>
    </row>
    <row r="963">
      <c r="D963" s="282"/>
    </row>
    <row r="964">
      <c r="D964" s="282"/>
    </row>
    <row r="965">
      <c r="D965" s="282"/>
    </row>
    <row r="966">
      <c r="D966" s="282"/>
    </row>
    <row r="967">
      <c r="D967" s="282"/>
    </row>
    <row r="968">
      <c r="D968" s="282"/>
    </row>
    <row r="969">
      <c r="D969" s="282"/>
    </row>
    <row r="970">
      <c r="D970" s="282"/>
    </row>
    <row r="971">
      <c r="D971" s="282"/>
    </row>
    <row r="972">
      <c r="D972" s="282"/>
    </row>
    <row r="973">
      <c r="D973" s="282"/>
    </row>
    <row r="974">
      <c r="D974" s="282"/>
    </row>
    <row r="975">
      <c r="D975" s="282"/>
    </row>
    <row r="976">
      <c r="D976" s="282"/>
    </row>
    <row r="977">
      <c r="D977" s="282"/>
    </row>
    <row r="978">
      <c r="D978" s="282"/>
    </row>
    <row r="979">
      <c r="D979" s="282"/>
    </row>
    <row r="980">
      <c r="D980" s="282"/>
    </row>
    <row r="981">
      <c r="D981" s="282"/>
    </row>
    <row r="982">
      <c r="D982" s="282"/>
    </row>
    <row r="983">
      <c r="D983" s="282"/>
    </row>
    <row r="984">
      <c r="D984" s="282"/>
    </row>
    <row r="985">
      <c r="D985" s="282"/>
    </row>
    <row r="986">
      <c r="D986" s="282"/>
    </row>
    <row r="987">
      <c r="D987" s="282"/>
    </row>
    <row r="988">
      <c r="D988" s="282"/>
    </row>
    <row r="989">
      <c r="D989" s="282"/>
    </row>
    <row r="990">
      <c r="D990" s="282"/>
    </row>
    <row r="991">
      <c r="D991" s="282"/>
    </row>
    <row r="992">
      <c r="D992" s="282"/>
    </row>
    <row r="993">
      <c r="D993" s="282"/>
    </row>
    <row r="994">
      <c r="D994" s="282"/>
    </row>
    <row r="995">
      <c r="D995" s="282"/>
    </row>
    <row r="996">
      <c r="D996" s="282"/>
    </row>
    <row r="997">
      <c r="D997" s="282"/>
    </row>
    <row r="998">
      <c r="D998" s="282"/>
    </row>
    <row r="999">
      <c r="D999" s="282"/>
    </row>
    <row r="1000">
      <c r="D1000" s="282"/>
    </row>
  </sheetData>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31.0"/>
    <col customWidth="1" min="2" max="2" width="44.44"/>
    <col customWidth="1" min="3" max="3" width="42.44"/>
    <col customWidth="1" min="4" max="26" width="10.44"/>
  </cols>
  <sheetData>
    <row r="1">
      <c r="A1" s="233" t="s">
        <v>1066</v>
      </c>
      <c r="B1" s="648"/>
      <c r="C1" s="648"/>
    </row>
    <row r="2">
      <c r="A2" s="237" t="s">
        <v>1068</v>
      </c>
      <c r="B2" s="237"/>
      <c r="C2" s="237"/>
    </row>
    <row r="3">
      <c r="A3" s="237"/>
      <c r="B3" s="237"/>
      <c r="C3" s="237"/>
    </row>
    <row r="4">
      <c r="A4" s="233" t="s">
        <v>1071</v>
      </c>
      <c r="B4" s="648"/>
      <c r="C4" s="648"/>
    </row>
    <row r="5">
      <c r="A5" s="237"/>
      <c r="B5" s="237"/>
      <c r="C5" s="237"/>
    </row>
    <row r="6">
      <c r="A6" s="237" t="s">
        <v>1072</v>
      </c>
      <c r="B6" s="237"/>
      <c r="C6" s="237"/>
    </row>
    <row r="7">
      <c r="A7" s="1083"/>
      <c r="B7" s="1084" t="s">
        <v>1076</v>
      </c>
      <c r="C7" s="1084" t="s">
        <v>1077</v>
      </c>
    </row>
    <row r="8">
      <c r="A8" s="1085" t="s">
        <v>1079</v>
      </c>
      <c r="B8" s="1085" t="s">
        <v>1080</v>
      </c>
      <c r="C8" s="1085" t="s">
        <v>1082</v>
      </c>
    </row>
    <row r="9">
      <c r="A9" s="1085" t="s">
        <v>1084</v>
      </c>
      <c r="B9" s="1085" t="s">
        <v>1085</v>
      </c>
      <c r="C9" s="1085" t="s">
        <v>1087</v>
      </c>
    </row>
    <row r="10">
      <c r="A10" s="1085" t="s">
        <v>1088</v>
      </c>
      <c r="B10" s="1085" t="s">
        <v>1089</v>
      </c>
      <c r="C10" s="1085" t="s">
        <v>1090</v>
      </c>
    </row>
    <row r="11">
      <c r="A11" s="1085" t="s">
        <v>1091</v>
      </c>
      <c r="B11" s="1085" t="s">
        <v>1092</v>
      </c>
      <c r="C11" s="1085" t="s">
        <v>1093</v>
      </c>
    </row>
    <row r="12">
      <c r="A12" s="1085" t="s">
        <v>1094</v>
      </c>
      <c r="B12" s="1085" t="s">
        <v>1095</v>
      </c>
      <c r="C12" s="1085" t="s">
        <v>1097</v>
      </c>
    </row>
    <row r="13">
      <c r="A13" s="237"/>
      <c r="B13" s="237"/>
      <c r="C13" s="237"/>
    </row>
    <row r="14">
      <c r="A14" s="237"/>
      <c r="B14" s="237"/>
      <c r="C14" s="237"/>
    </row>
    <row r="15">
      <c r="A15" s="237"/>
      <c r="B15" s="237"/>
      <c r="C15" s="237"/>
    </row>
    <row r="16">
      <c r="A16" s="237"/>
      <c r="B16" s="237"/>
      <c r="C16" s="237"/>
    </row>
    <row r="17">
      <c r="A17" s="233" t="s">
        <v>1098</v>
      </c>
      <c r="B17" s="648"/>
      <c r="C17" s="648"/>
    </row>
    <row r="18" ht="30.75" customHeight="1">
      <c r="A18" s="237" t="s">
        <v>1099</v>
      </c>
      <c r="C18" s="1086">
        <f>(9876-11734)/11734</f>
        <v>-0.158343276</v>
      </c>
      <c r="D18" s="98" t="s">
        <v>1101</v>
      </c>
    </row>
    <row r="19" ht="30.75" customHeight="1">
      <c r="A19" s="237" t="s">
        <v>1102</v>
      </c>
      <c r="C19" s="1086">
        <f>(6923-7544)/7544</f>
        <v>-0.08231707317</v>
      </c>
      <c r="D19" s="98" t="s">
        <v>1105</v>
      </c>
    </row>
    <row r="20" ht="31.5" customHeight="1">
      <c r="A20" s="237" t="s">
        <v>1106</v>
      </c>
      <c r="C20" s="237"/>
    </row>
    <row r="21" ht="78.75" customHeight="1">
      <c r="A21" s="237" t="s">
        <v>1108</v>
      </c>
      <c r="C21" s="237"/>
    </row>
    <row r="22">
      <c r="A22" s="237"/>
      <c r="B22" s="237"/>
      <c r="C22" s="237"/>
    </row>
    <row r="23">
      <c r="A23" s="237"/>
      <c r="B23" s="237"/>
      <c r="C23" s="237"/>
    </row>
    <row r="24">
      <c r="A24" s="237"/>
      <c r="B24" s="237"/>
      <c r="C24" s="237"/>
    </row>
    <row r="25">
      <c r="A25" s="237"/>
      <c r="B25" s="237"/>
      <c r="C25" s="237"/>
    </row>
    <row r="26">
      <c r="A26" s="237"/>
      <c r="B26" s="237"/>
      <c r="C26" s="237"/>
    </row>
    <row r="27">
      <c r="A27" s="237"/>
      <c r="B27" s="237"/>
      <c r="C27" s="237"/>
    </row>
    <row r="28">
      <c r="A28" s="237"/>
      <c r="B28" s="237"/>
      <c r="C28" s="237"/>
    </row>
    <row r="29">
      <c r="A29" s="237"/>
      <c r="B29" s="237"/>
      <c r="C29" s="237"/>
    </row>
    <row r="30">
      <c r="A30" s="237"/>
      <c r="B30" s="237"/>
      <c r="C30" s="237"/>
    </row>
    <row r="31">
      <c r="A31" s="237"/>
      <c r="B31" s="237"/>
      <c r="C31" s="237"/>
    </row>
    <row r="32">
      <c r="A32" s="237"/>
      <c r="B32" s="237"/>
      <c r="C32" s="237"/>
    </row>
    <row r="33">
      <c r="A33" s="237"/>
      <c r="B33" s="237"/>
      <c r="C33" s="237"/>
    </row>
    <row r="34">
      <c r="A34" s="237"/>
      <c r="B34" s="237"/>
      <c r="C34" s="237"/>
    </row>
    <row r="35">
      <c r="A35" s="237"/>
      <c r="B35" s="237"/>
      <c r="C35" s="237"/>
    </row>
    <row r="36">
      <c r="A36" s="237"/>
      <c r="B36" s="237"/>
      <c r="C36" s="237"/>
    </row>
    <row r="37">
      <c r="A37" s="237"/>
      <c r="B37" s="237"/>
      <c r="C37" s="237"/>
    </row>
    <row r="38">
      <c r="A38" s="237"/>
      <c r="B38" s="237"/>
      <c r="C38" s="237"/>
    </row>
    <row r="39">
      <c r="A39" s="237"/>
      <c r="B39" s="237"/>
      <c r="C39" s="237"/>
    </row>
    <row r="40">
      <c r="A40" s="237"/>
      <c r="B40" s="237"/>
      <c r="C40" s="237"/>
    </row>
    <row r="41">
      <c r="A41" s="237"/>
      <c r="B41" s="237"/>
      <c r="C41" s="237"/>
    </row>
    <row r="42">
      <c r="A42" s="237"/>
      <c r="B42" s="237"/>
      <c r="C42" s="237"/>
    </row>
    <row r="43">
      <c r="A43" s="237"/>
      <c r="B43" s="237"/>
      <c r="C43" s="237"/>
    </row>
    <row r="44">
      <c r="A44" s="237"/>
      <c r="B44" s="237"/>
      <c r="C44" s="237"/>
    </row>
    <row r="45">
      <c r="A45" s="237"/>
      <c r="B45" s="237"/>
      <c r="C45" s="237"/>
    </row>
    <row r="46">
      <c r="A46" s="237"/>
      <c r="B46" s="237"/>
      <c r="C46" s="237"/>
    </row>
    <row r="47">
      <c r="A47" s="237"/>
      <c r="B47" s="237"/>
      <c r="C47" s="237"/>
    </row>
    <row r="48">
      <c r="A48" s="237"/>
      <c r="B48" s="237"/>
      <c r="C48" s="237"/>
    </row>
    <row r="49">
      <c r="A49" s="237"/>
      <c r="B49" s="237"/>
      <c r="C49" s="237"/>
    </row>
    <row r="50">
      <c r="A50" s="237"/>
      <c r="B50" s="237"/>
      <c r="C50" s="237"/>
    </row>
    <row r="51">
      <c r="A51" s="237"/>
      <c r="B51" s="237"/>
      <c r="C51" s="237"/>
    </row>
    <row r="52">
      <c r="A52" s="237"/>
      <c r="B52" s="237"/>
      <c r="C52" s="237"/>
    </row>
    <row r="53">
      <c r="A53" s="237"/>
      <c r="B53" s="237"/>
      <c r="C53" s="237"/>
    </row>
    <row r="54">
      <c r="A54" s="237"/>
      <c r="B54" s="237"/>
      <c r="C54" s="237"/>
    </row>
    <row r="55">
      <c r="A55" s="237"/>
      <c r="B55" s="237"/>
      <c r="C55" s="237"/>
    </row>
    <row r="56">
      <c r="A56" s="237"/>
      <c r="B56" s="237"/>
      <c r="C56" s="237"/>
    </row>
    <row r="57">
      <c r="A57" s="237"/>
      <c r="B57" s="237"/>
      <c r="C57" s="237"/>
    </row>
    <row r="58">
      <c r="A58" s="237"/>
      <c r="B58" s="237"/>
      <c r="C58" s="237"/>
    </row>
    <row r="59">
      <c r="A59" s="237"/>
      <c r="B59" s="237"/>
      <c r="C59" s="237"/>
    </row>
    <row r="60">
      <c r="A60" s="237"/>
      <c r="B60" s="237"/>
      <c r="C60" s="237"/>
    </row>
    <row r="61">
      <c r="A61" s="237"/>
      <c r="B61" s="237"/>
      <c r="C61" s="237"/>
    </row>
    <row r="62">
      <c r="A62" s="237"/>
      <c r="B62" s="237"/>
      <c r="C62" s="237"/>
    </row>
    <row r="63">
      <c r="A63" s="237"/>
      <c r="B63" s="237"/>
      <c r="C63" s="237"/>
    </row>
    <row r="64">
      <c r="A64" s="237"/>
      <c r="B64" s="237"/>
      <c r="C64" s="237"/>
    </row>
    <row r="65">
      <c r="A65" s="237"/>
      <c r="B65" s="237"/>
      <c r="C65" s="237"/>
    </row>
    <row r="66">
      <c r="A66" s="237"/>
      <c r="B66" s="237"/>
      <c r="C66" s="237"/>
    </row>
    <row r="67">
      <c r="A67" s="237"/>
      <c r="B67" s="237"/>
      <c r="C67" s="237"/>
    </row>
    <row r="68">
      <c r="A68" s="237"/>
      <c r="B68" s="237"/>
      <c r="C68" s="237"/>
    </row>
    <row r="69">
      <c r="A69" s="237"/>
      <c r="B69" s="237"/>
      <c r="C69" s="237"/>
    </row>
    <row r="70">
      <c r="A70" s="237"/>
      <c r="B70" s="237"/>
      <c r="C70" s="237"/>
    </row>
    <row r="71">
      <c r="A71" s="237"/>
      <c r="B71" s="237"/>
      <c r="C71" s="237"/>
    </row>
    <row r="72">
      <c r="A72" s="237"/>
      <c r="B72" s="237"/>
      <c r="C72" s="237"/>
    </row>
    <row r="73">
      <c r="A73" s="237"/>
      <c r="B73" s="237"/>
      <c r="C73" s="237"/>
    </row>
    <row r="74">
      <c r="A74" s="237"/>
      <c r="B74" s="237"/>
      <c r="C74" s="237"/>
    </row>
    <row r="75">
      <c r="A75" s="237"/>
      <c r="B75" s="237"/>
      <c r="C75" s="237"/>
    </row>
    <row r="76">
      <c r="A76" s="237"/>
      <c r="B76" s="237"/>
      <c r="C76" s="237"/>
    </row>
    <row r="77">
      <c r="A77" s="237"/>
      <c r="B77" s="237"/>
      <c r="C77" s="237"/>
    </row>
    <row r="78">
      <c r="A78" s="237"/>
      <c r="B78" s="237"/>
      <c r="C78" s="237"/>
    </row>
    <row r="79">
      <c r="A79" s="237"/>
      <c r="B79" s="237"/>
      <c r="C79" s="237"/>
    </row>
    <row r="80">
      <c r="A80" s="237"/>
      <c r="B80" s="237"/>
      <c r="C80" s="237"/>
    </row>
    <row r="81">
      <c r="A81" s="237"/>
      <c r="B81" s="237"/>
      <c r="C81" s="237"/>
    </row>
    <row r="82">
      <c r="A82" s="237"/>
      <c r="B82" s="237"/>
      <c r="C82" s="237"/>
    </row>
    <row r="83">
      <c r="A83" s="237"/>
      <c r="B83" s="237"/>
      <c r="C83" s="237"/>
    </row>
    <row r="84">
      <c r="A84" s="237"/>
      <c r="B84" s="237"/>
      <c r="C84" s="237"/>
    </row>
    <row r="85">
      <c r="A85" s="237"/>
      <c r="B85" s="237"/>
      <c r="C85" s="237"/>
    </row>
    <row r="86">
      <c r="A86" s="237"/>
      <c r="B86" s="237"/>
      <c r="C86" s="237"/>
    </row>
    <row r="87">
      <c r="A87" s="237"/>
      <c r="B87" s="237"/>
      <c r="C87" s="237"/>
    </row>
    <row r="88">
      <c r="A88" s="237"/>
      <c r="B88" s="237"/>
      <c r="C88" s="237"/>
    </row>
    <row r="89">
      <c r="A89" s="237"/>
      <c r="B89" s="237"/>
      <c r="C89" s="237"/>
    </row>
    <row r="90">
      <c r="A90" s="237"/>
      <c r="B90" s="237"/>
      <c r="C90" s="237"/>
    </row>
    <row r="91">
      <c r="A91" s="237"/>
      <c r="B91" s="237"/>
      <c r="C91" s="237"/>
    </row>
    <row r="92">
      <c r="A92" s="237"/>
      <c r="B92" s="237"/>
      <c r="C92" s="237"/>
    </row>
    <row r="93">
      <c r="A93" s="237"/>
      <c r="B93" s="237"/>
      <c r="C93" s="237"/>
    </row>
    <row r="94">
      <c r="A94" s="237"/>
      <c r="B94" s="237"/>
      <c r="C94" s="237"/>
    </row>
    <row r="95">
      <c r="A95" s="237"/>
      <c r="B95" s="237"/>
      <c r="C95" s="237"/>
    </row>
    <row r="96">
      <c r="A96" s="237"/>
      <c r="B96" s="237"/>
      <c r="C96" s="237"/>
    </row>
    <row r="97">
      <c r="A97" s="237"/>
      <c r="B97" s="237"/>
      <c r="C97" s="237"/>
    </row>
    <row r="98">
      <c r="A98" s="237"/>
      <c r="B98" s="237"/>
      <c r="C98" s="237"/>
    </row>
    <row r="99">
      <c r="A99" s="237"/>
      <c r="B99" s="237"/>
      <c r="C99" s="237"/>
    </row>
    <row r="100">
      <c r="A100" s="237"/>
      <c r="B100" s="237"/>
      <c r="C100" s="237"/>
    </row>
    <row r="101">
      <c r="A101" s="237"/>
      <c r="B101" s="237"/>
      <c r="C101" s="237"/>
    </row>
    <row r="102">
      <c r="A102" s="237"/>
      <c r="B102" s="237"/>
      <c r="C102" s="237"/>
    </row>
    <row r="103">
      <c r="A103" s="237"/>
      <c r="B103" s="237"/>
      <c r="C103" s="237"/>
    </row>
    <row r="104">
      <c r="A104" s="237"/>
      <c r="B104" s="237"/>
      <c r="C104" s="237"/>
    </row>
    <row r="105">
      <c r="A105" s="237"/>
      <c r="B105" s="237"/>
      <c r="C105" s="237"/>
    </row>
    <row r="106">
      <c r="A106" s="237"/>
      <c r="B106" s="237"/>
      <c r="C106" s="237"/>
    </row>
    <row r="107">
      <c r="A107" s="237"/>
      <c r="B107" s="237"/>
      <c r="C107" s="237"/>
    </row>
    <row r="108">
      <c r="A108" s="237"/>
      <c r="B108" s="237"/>
      <c r="C108" s="237"/>
    </row>
    <row r="109">
      <c r="A109" s="237"/>
      <c r="B109" s="237"/>
      <c r="C109" s="237"/>
    </row>
    <row r="110">
      <c r="A110" s="237"/>
      <c r="B110" s="237"/>
      <c r="C110" s="237"/>
    </row>
    <row r="111">
      <c r="A111" s="237"/>
      <c r="B111" s="237"/>
      <c r="C111" s="237"/>
    </row>
    <row r="112">
      <c r="A112" s="237"/>
      <c r="B112" s="237"/>
      <c r="C112" s="237"/>
    </row>
    <row r="113">
      <c r="A113" s="237"/>
      <c r="B113" s="237"/>
      <c r="C113" s="237"/>
    </row>
    <row r="114">
      <c r="A114" s="237"/>
      <c r="B114" s="237"/>
      <c r="C114" s="237"/>
    </row>
    <row r="115">
      <c r="A115" s="237"/>
      <c r="B115" s="237"/>
      <c r="C115" s="237"/>
    </row>
    <row r="116">
      <c r="A116" s="237"/>
      <c r="B116" s="237"/>
      <c r="C116" s="237"/>
    </row>
    <row r="117">
      <c r="A117" s="237"/>
      <c r="B117" s="237"/>
      <c r="C117" s="237"/>
    </row>
    <row r="118">
      <c r="A118" s="237"/>
      <c r="B118" s="237"/>
      <c r="C118" s="237"/>
    </row>
    <row r="119">
      <c r="A119" s="237"/>
      <c r="B119" s="237"/>
      <c r="C119" s="237"/>
    </row>
    <row r="120">
      <c r="A120" s="237"/>
      <c r="B120" s="237"/>
      <c r="C120" s="237"/>
    </row>
    <row r="121">
      <c r="A121" s="237"/>
      <c r="B121" s="237"/>
      <c r="C121" s="237"/>
    </row>
    <row r="122">
      <c r="A122" s="237"/>
      <c r="B122" s="237"/>
      <c r="C122" s="237"/>
    </row>
    <row r="123">
      <c r="A123" s="237"/>
      <c r="B123" s="237"/>
      <c r="C123" s="237"/>
    </row>
    <row r="124">
      <c r="A124" s="237"/>
      <c r="B124" s="237"/>
      <c r="C124" s="237"/>
    </row>
    <row r="125">
      <c r="A125" s="237"/>
      <c r="B125" s="237"/>
      <c r="C125" s="237"/>
    </row>
    <row r="126">
      <c r="A126" s="237"/>
      <c r="B126" s="237"/>
      <c r="C126" s="237"/>
    </row>
    <row r="127">
      <c r="A127" s="237"/>
      <c r="B127" s="237"/>
      <c r="C127" s="237"/>
    </row>
    <row r="128">
      <c r="A128" s="237"/>
      <c r="B128" s="237"/>
      <c r="C128" s="237"/>
    </row>
    <row r="129">
      <c r="A129" s="237"/>
      <c r="B129" s="237"/>
      <c r="C129" s="237"/>
    </row>
    <row r="130">
      <c r="A130" s="237"/>
      <c r="B130" s="237"/>
      <c r="C130" s="237"/>
    </row>
    <row r="131">
      <c r="A131" s="237"/>
      <c r="B131" s="237"/>
      <c r="C131" s="237"/>
    </row>
    <row r="132">
      <c r="A132" s="237"/>
      <c r="B132" s="237"/>
      <c r="C132" s="237"/>
    </row>
    <row r="133">
      <c r="A133" s="237"/>
      <c r="B133" s="237"/>
      <c r="C133" s="237"/>
    </row>
    <row r="134">
      <c r="A134" s="237"/>
      <c r="B134" s="237"/>
      <c r="C134" s="237"/>
    </row>
    <row r="135">
      <c r="A135" s="237"/>
      <c r="B135" s="237"/>
      <c r="C135" s="237"/>
    </row>
    <row r="136">
      <c r="A136" s="237"/>
      <c r="B136" s="237"/>
      <c r="C136" s="237"/>
    </row>
    <row r="137">
      <c r="A137" s="237"/>
      <c r="B137" s="237"/>
      <c r="C137" s="237"/>
    </row>
    <row r="138">
      <c r="A138" s="237"/>
      <c r="B138" s="237"/>
      <c r="C138" s="237"/>
    </row>
    <row r="139">
      <c r="A139" s="237"/>
      <c r="B139" s="237"/>
      <c r="C139" s="237"/>
    </row>
    <row r="140">
      <c r="A140" s="237"/>
      <c r="B140" s="237"/>
      <c r="C140" s="237"/>
    </row>
    <row r="141">
      <c r="A141" s="237"/>
      <c r="B141" s="237"/>
      <c r="C141" s="237"/>
    </row>
    <row r="142">
      <c r="A142" s="237"/>
      <c r="B142" s="237"/>
      <c r="C142" s="237"/>
    </row>
    <row r="143">
      <c r="A143" s="237"/>
      <c r="B143" s="237"/>
      <c r="C143" s="237"/>
    </row>
    <row r="144">
      <c r="A144" s="237"/>
      <c r="B144" s="237"/>
      <c r="C144" s="237"/>
    </row>
    <row r="145">
      <c r="A145" s="237"/>
      <c r="B145" s="237"/>
      <c r="C145" s="237"/>
    </row>
    <row r="146">
      <c r="A146" s="237"/>
      <c r="B146" s="237"/>
      <c r="C146" s="237"/>
    </row>
    <row r="147">
      <c r="A147" s="237"/>
      <c r="B147" s="237"/>
      <c r="C147" s="237"/>
    </row>
    <row r="148">
      <c r="A148" s="237"/>
      <c r="B148" s="237"/>
      <c r="C148" s="237"/>
    </row>
    <row r="149">
      <c r="A149" s="237"/>
      <c r="B149" s="237"/>
      <c r="C149" s="237"/>
    </row>
    <row r="150">
      <c r="A150" s="237"/>
      <c r="B150" s="237"/>
      <c r="C150" s="237"/>
    </row>
    <row r="151">
      <c r="A151" s="237"/>
      <c r="B151" s="237"/>
      <c r="C151" s="237"/>
    </row>
    <row r="152">
      <c r="A152" s="237"/>
      <c r="B152" s="237"/>
      <c r="C152" s="237"/>
    </row>
    <row r="153">
      <c r="A153" s="237"/>
      <c r="B153" s="237"/>
      <c r="C153" s="237"/>
    </row>
    <row r="154">
      <c r="A154" s="237"/>
      <c r="B154" s="237"/>
      <c r="C154" s="237"/>
    </row>
    <row r="155">
      <c r="A155" s="237"/>
      <c r="B155" s="237"/>
      <c r="C155" s="237"/>
    </row>
    <row r="156">
      <c r="A156" s="237"/>
      <c r="B156" s="237"/>
      <c r="C156" s="237"/>
    </row>
    <row r="157">
      <c r="A157" s="237"/>
      <c r="B157" s="237"/>
      <c r="C157" s="237"/>
    </row>
    <row r="158">
      <c r="A158" s="237"/>
      <c r="B158" s="237"/>
      <c r="C158" s="237"/>
    </row>
    <row r="159">
      <c r="A159" s="237"/>
      <c r="B159" s="237"/>
      <c r="C159" s="237"/>
    </row>
    <row r="160">
      <c r="A160" s="237"/>
      <c r="B160" s="237"/>
      <c r="C160" s="237"/>
    </row>
    <row r="161">
      <c r="A161" s="237"/>
      <c r="B161" s="237"/>
      <c r="C161" s="237"/>
    </row>
    <row r="162">
      <c r="A162" s="237"/>
      <c r="B162" s="237"/>
      <c r="C162" s="237"/>
    </row>
    <row r="163">
      <c r="A163" s="237"/>
      <c r="B163" s="237"/>
      <c r="C163" s="237"/>
    </row>
    <row r="164">
      <c r="A164" s="237"/>
      <c r="B164" s="237"/>
      <c r="C164" s="237"/>
    </row>
    <row r="165">
      <c r="A165" s="237"/>
      <c r="B165" s="237"/>
      <c r="C165" s="237"/>
    </row>
    <row r="166">
      <c r="A166" s="237"/>
      <c r="B166" s="237"/>
      <c r="C166" s="237"/>
    </row>
    <row r="167">
      <c r="A167" s="237"/>
      <c r="B167" s="237"/>
      <c r="C167" s="237"/>
    </row>
    <row r="168">
      <c r="A168" s="237"/>
      <c r="B168" s="237"/>
      <c r="C168" s="237"/>
    </row>
    <row r="169">
      <c r="A169" s="237"/>
      <c r="B169" s="237"/>
      <c r="C169" s="237"/>
    </row>
    <row r="170">
      <c r="A170" s="237"/>
      <c r="B170" s="237"/>
      <c r="C170" s="237"/>
    </row>
    <row r="171">
      <c r="A171" s="237"/>
      <c r="B171" s="237"/>
      <c r="C171" s="237"/>
    </row>
    <row r="172">
      <c r="A172" s="237"/>
      <c r="B172" s="237"/>
      <c r="C172" s="237"/>
    </row>
    <row r="173">
      <c r="A173" s="237"/>
      <c r="B173" s="237"/>
      <c r="C173" s="237"/>
    </row>
    <row r="174">
      <c r="A174" s="237"/>
      <c r="B174" s="237"/>
      <c r="C174" s="237"/>
    </row>
    <row r="175">
      <c r="A175" s="237"/>
      <c r="B175" s="237"/>
      <c r="C175" s="237"/>
    </row>
    <row r="176">
      <c r="A176" s="237"/>
      <c r="B176" s="237"/>
      <c r="C176" s="237"/>
    </row>
    <row r="177">
      <c r="A177" s="237"/>
      <c r="B177" s="237"/>
      <c r="C177" s="237"/>
    </row>
    <row r="178">
      <c r="A178" s="237"/>
      <c r="B178" s="237"/>
      <c r="C178" s="237"/>
    </row>
    <row r="179">
      <c r="A179" s="237"/>
      <c r="B179" s="237"/>
      <c r="C179" s="237"/>
    </row>
    <row r="180">
      <c r="A180" s="237"/>
      <c r="B180" s="237"/>
      <c r="C180" s="237"/>
    </row>
    <row r="181">
      <c r="A181" s="237"/>
      <c r="B181" s="237"/>
      <c r="C181" s="237"/>
    </row>
    <row r="182">
      <c r="A182" s="237"/>
      <c r="B182" s="237"/>
      <c r="C182" s="237"/>
    </row>
    <row r="183">
      <c r="A183" s="237"/>
      <c r="B183" s="237"/>
      <c r="C183" s="237"/>
    </row>
    <row r="184">
      <c r="A184" s="237"/>
      <c r="B184" s="237"/>
      <c r="C184" s="237"/>
    </row>
    <row r="185">
      <c r="A185" s="237"/>
      <c r="B185" s="237"/>
      <c r="C185" s="237"/>
    </row>
    <row r="186">
      <c r="A186" s="237"/>
      <c r="B186" s="237"/>
      <c r="C186" s="237"/>
    </row>
    <row r="187">
      <c r="A187" s="237"/>
      <c r="B187" s="237"/>
      <c r="C187" s="237"/>
    </row>
    <row r="188">
      <c r="A188" s="237"/>
      <c r="B188" s="237"/>
      <c r="C188" s="237"/>
    </row>
    <row r="189">
      <c r="A189" s="237"/>
      <c r="B189" s="237"/>
      <c r="C189" s="237"/>
    </row>
    <row r="190">
      <c r="A190" s="237"/>
      <c r="B190" s="237"/>
      <c r="C190" s="237"/>
    </row>
    <row r="191">
      <c r="A191" s="237"/>
      <c r="B191" s="237"/>
      <c r="C191" s="237"/>
    </row>
    <row r="192">
      <c r="A192" s="237"/>
      <c r="B192" s="237"/>
      <c r="C192" s="237"/>
    </row>
    <row r="193">
      <c r="A193" s="237"/>
      <c r="B193" s="237"/>
      <c r="C193" s="237"/>
    </row>
    <row r="194">
      <c r="A194" s="237"/>
      <c r="B194" s="237"/>
      <c r="C194" s="237"/>
    </row>
    <row r="195">
      <c r="A195" s="237"/>
      <c r="B195" s="237"/>
      <c r="C195" s="237"/>
    </row>
    <row r="196">
      <c r="A196" s="237"/>
      <c r="B196" s="237"/>
      <c r="C196" s="237"/>
    </row>
    <row r="197">
      <c r="A197" s="237"/>
      <c r="B197" s="237"/>
      <c r="C197" s="237"/>
    </row>
    <row r="198">
      <c r="A198" s="237"/>
      <c r="B198" s="237"/>
      <c r="C198" s="237"/>
    </row>
    <row r="199">
      <c r="A199" s="237"/>
      <c r="B199" s="237"/>
      <c r="C199" s="237"/>
    </row>
    <row r="200">
      <c r="A200" s="237"/>
      <c r="B200" s="237"/>
      <c r="C200" s="237"/>
    </row>
    <row r="201">
      <c r="A201" s="237"/>
      <c r="B201" s="237"/>
      <c r="C201" s="237"/>
    </row>
    <row r="202">
      <c r="A202" s="237"/>
      <c r="B202" s="237"/>
      <c r="C202" s="237"/>
    </row>
    <row r="203">
      <c r="A203" s="237"/>
      <c r="B203" s="237"/>
      <c r="C203" s="237"/>
    </row>
    <row r="204">
      <c r="A204" s="237"/>
      <c r="B204" s="237"/>
      <c r="C204" s="237"/>
    </row>
    <row r="205">
      <c r="A205" s="237"/>
      <c r="B205" s="237"/>
      <c r="C205" s="237"/>
    </row>
    <row r="206">
      <c r="A206" s="237"/>
      <c r="B206" s="237"/>
      <c r="C206" s="237"/>
    </row>
    <row r="207">
      <c r="A207" s="237"/>
      <c r="B207" s="237"/>
      <c r="C207" s="237"/>
    </row>
    <row r="208">
      <c r="A208" s="237"/>
      <c r="B208" s="237"/>
      <c r="C208" s="237"/>
    </row>
    <row r="209">
      <c r="A209" s="237"/>
      <c r="B209" s="237"/>
      <c r="C209" s="237"/>
    </row>
    <row r="210">
      <c r="A210" s="237"/>
      <c r="B210" s="237"/>
      <c r="C210" s="237"/>
    </row>
    <row r="211">
      <c r="A211" s="237"/>
      <c r="B211" s="237"/>
      <c r="C211" s="237"/>
    </row>
    <row r="212">
      <c r="A212" s="237"/>
      <c r="B212" s="237"/>
      <c r="C212" s="237"/>
    </row>
    <row r="213">
      <c r="A213" s="237"/>
      <c r="B213" s="237"/>
      <c r="C213" s="237"/>
    </row>
    <row r="214">
      <c r="A214" s="237"/>
      <c r="B214" s="237"/>
      <c r="C214" s="237"/>
    </row>
    <row r="215">
      <c r="A215" s="237"/>
      <c r="B215" s="237"/>
      <c r="C215" s="237"/>
    </row>
    <row r="216">
      <c r="A216" s="237"/>
      <c r="B216" s="237"/>
      <c r="C216" s="237"/>
    </row>
    <row r="217">
      <c r="A217" s="237"/>
      <c r="B217" s="237"/>
      <c r="C217" s="237"/>
    </row>
    <row r="218">
      <c r="A218" s="237"/>
      <c r="B218" s="237"/>
      <c r="C218" s="237"/>
    </row>
    <row r="219">
      <c r="A219" s="237"/>
      <c r="B219" s="237"/>
      <c r="C219" s="237"/>
    </row>
    <row r="220">
      <c r="A220" s="237"/>
      <c r="B220" s="237"/>
      <c r="C220" s="237"/>
    </row>
    <row r="221">
      <c r="A221" s="237"/>
      <c r="B221" s="237"/>
      <c r="C221" s="237"/>
    </row>
    <row r="222">
      <c r="A222" s="237"/>
      <c r="B222" s="237"/>
      <c r="C222" s="237"/>
    </row>
    <row r="223">
      <c r="A223" s="237"/>
      <c r="B223" s="237"/>
      <c r="C223" s="237"/>
    </row>
    <row r="224">
      <c r="A224" s="237"/>
      <c r="B224" s="237"/>
      <c r="C224" s="237"/>
    </row>
    <row r="225">
      <c r="A225" s="237"/>
      <c r="B225" s="237"/>
      <c r="C225" s="237"/>
    </row>
    <row r="226">
      <c r="A226" s="237"/>
      <c r="B226" s="237"/>
      <c r="C226" s="237"/>
    </row>
    <row r="227">
      <c r="A227" s="237"/>
      <c r="B227" s="237"/>
      <c r="C227" s="237"/>
    </row>
    <row r="228">
      <c r="A228" s="237"/>
      <c r="B228" s="237"/>
      <c r="C228" s="237"/>
    </row>
    <row r="229">
      <c r="A229" s="237"/>
      <c r="B229" s="237"/>
      <c r="C229" s="237"/>
    </row>
    <row r="230">
      <c r="A230" s="237"/>
      <c r="B230" s="237"/>
      <c r="C230" s="237"/>
    </row>
    <row r="231">
      <c r="A231" s="237"/>
      <c r="B231" s="237"/>
      <c r="C231" s="237"/>
    </row>
    <row r="232">
      <c r="A232" s="237"/>
      <c r="B232" s="237"/>
      <c r="C232" s="237"/>
    </row>
    <row r="233">
      <c r="A233" s="237"/>
      <c r="B233" s="237"/>
      <c r="C233" s="237"/>
    </row>
    <row r="234">
      <c r="A234" s="237"/>
      <c r="B234" s="237"/>
      <c r="C234" s="237"/>
    </row>
    <row r="235">
      <c r="A235" s="237"/>
      <c r="B235" s="237"/>
      <c r="C235" s="237"/>
    </row>
    <row r="236">
      <c r="A236" s="237"/>
      <c r="B236" s="237"/>
      <c r="C236" s="237"/>
    </row>
    <row r="237">
      <c r="A237" s="237"/>
      <c r="B237" s="237"/>
      <c r="C237" s="237"/>
    </row>
    <row r="238">
      <c r="A238" s="237"/>
      <c r="B238" s="237"/>
      <c r="C238" s="237"/>
    </row>
    <row r="239">
      <c r="A239" s="237"/>
      <c r="B239" s="237"/>
      <c r="C239" s="237"/>
    </row>
    <row r="240">
      <c r="A240" s="237"/>
      <c r="B240" s="237"/>
      <c r="C240" s="237"/>
    </row>
    <row r="241">
      <c r="A241" s="237"/>
      <c r="B241" s="237"/>
      <c r="C241" s="237"/>
    </row>
    <row r="242">
      <c r="A242" s="237"/>
      <c r="B242" s="237"/>
      <c r="C242" s="237"/>
    </row>
    <row r="243">
      <c r="A243" s="237"/>
      <c r="B243" s="237"/>
      <c r="C243" s="237"/>
    </row>
    <row r="244">
      <c r="A244" s="237"/>
      <c r="B244" s="237"/>
      <c r="C244" s="237"/>
    </row>
    <row r="245">
      <c r="A245" s="237"/>
      <c r="B245" s="237"/>
      <c r="C245" s="237"/>
    </row>
    <row r="246">
      <c r="A246" s="237"/>
      <c r="B246" s="237"/>
      <c r="C246" s="237"/>
    </row>
    <row r="247">
      <c r="A247" s="237"/>
      <c r="B247" s="237"/>
      <c r="C247" s="237"/>
    </row>
    <row r="248">
      <c r="A248" s="237"/>
      <c r="B248" s="237"/>
      <c r="C248" s="237"/>
    </row>
    <row r="249">
      <c r="A249" s="237"/>
      <c r="B249" s="237"/>
      <c r="C249" s="237"/>
    </row>
    <row r="250">
      <c r="A250" s="237"/>
      <c r="B250" s="237"/>
      <c r="C250" s="237"/>
    </row>
    <row r="251">
      <c r="A251" s="237"/>
      <c r="B251" s="237"/>
      <c r="C251" s="237"/>
    </row>
    <row r="252">
      <c r="A252" s="237"/>
      <c r="B252" s="237"/>
      <c r="C252" s="237"/>
    </row>
    <row r="253">
      <c r="A253" s="237"/>
      <c r="B253" s="237"/>
      <c r="C253" s="237"/>
    </row>
    <row r="254">
      <c r="A254" s="237"/>
      <c r="B254" s="237"/>
      <c r="C254" s="237"/>
    </row>
    <row r="255">
      <c r="A255" s="237"/>
      <c r="B255" s="237"/>
      <c r="C255" s="237"/>
    </row>
    <row r="256">
      <c r="A256" s="237"/>
      <c r="B256" s="237"/>
      <c r="C256" s="237"/>
    </row>
    <row r="257">
      <c r="A257" s="237"/>
      <c r="B257" s="237"/>
      <c r="C257" s="237"/>
    </row>
    <row r="258">
      <c r="A258" s="237"/>
      <c r="B258" s="237"/>
      <c r="C258" s="237"/>
    </row>
    <row r="259">
      <c r="A259" s="237"/>
      <c r="B259" s="237"/>
      <c r="C259" s="237"/>
    </row>
    <row r="260">
      <c r="A260" s="237"/>
      <c r="B260" s="237"/>
      <c r="C260" s="237"/>
    </row>
    <row r="261">
      <c r="A261" s="237"/>
      <c r="B261" s="237"/>
      <c r="C261" s="237"/>
    </row>
    <row r="262">
      <c r="A262" s="237"/>
      <c r="B262" s="237"/>
      <c r="C262" s="237"/>
    </row>
    <row r="263">
      <c r="A263" s="237"/>
      <c r="B263" s="237"/>
      <c r="C263" s="237"/>
    </row>
    <row r="264">
      <c r="A264" s="237"/>
      <c r="B264" s="237"/>
      <c r="C264" s="237"/>
    </row>
    <row r="265">
      <c r="A265" s="237"/>
      <c r="B265" s="237"/>
      <c r="C265" s="237"/>
    </row>
    <row r="266">
      <c r="A266" s="237"/>
      <c r="B266" s="237"/>
      <c r="C266" s="237"/>
    </row>
    <row r="267">
      <c r="A267" s="237"/>
      <c r="B267" s="237"/>
      <c r="C267" s="237"/>
    </row>
    <row r="268">
      <c r="A268" s="237"/>
      <c r="B268" s="237"/>
      <c r="C268" s="237"/>
    </row>
    <row r="269">
      <c r="A269" s="237"/>
      <c r="B269" s="237"/>
      <c r="C269" s="237"/>
    </row>
    <row r="270">
      <c r="A270" s="237"/>
      <c r="B270" s="237"/>
      <c r="C270" s="237"/>
    </row>
    <row r="271">
      <c r="A271" s="237"/>
      <c r="B271" s="237"/>
      <c r="C271" s="237"/>
    </row>
    <row r="272">
      <c r="A272" s="237"/>
      <c r="B272" s="237"/>
      <c r="C272" s="237"/>
    </row>
    <row r="273">
      <c r="A273" s="237"/>
      <c r="B273" s="237"/>
      <c r="C273" s="237"/>
    </row>
    <row r="274">
      <c r="A274" s="237"/>
      <c r="B274" s="237"/>
      <c r="C274" s="237"/>
    </row>
    <row r="275">
      <c r="A275" s="237"/>
      <c r="B275" s="237"/>
      <c r="C275" s="237"/>
    </row>
    <row r="276">
      <c r="A276" s="237"/>
      <c r="B276" s="237"/>
      <c r="C276" s="237"/>
    </row>
    <row r="277">
      <c r="A277" s="237"/>
      <c r="B277" s="237"/>
      <c r="C277" s="237"/>
    </row>
    <row r="278">
      <c r="A278" s="237"/>
      <c r="B278" s="237"/>
      <c r="C278" s="237"/>
    </row>
    <row r="279">
      <c r="A279" s="237"/>
      <c r="B279" s="237"/>
      <c r="C279" s="237"/>
    </row>
    <row r="280">
      <c r="A280" s="237"/>
      <c r="B280" s="237"/>
      <c r="C280" s="237"/>
    </row>
    <row r="281">
      <c r="A281" s="237"/>
      <c r="B281" s="237"/>
      <c r="C281" s="237"/>
    </row>
    <row r="282">
      <c r="A282" s="237"/>
      <c r="B282" s="237"/>
      <c r="C282" s="237"/>
    </row>
    <row r="283">
      <c r="A283" s="237"/>
      <c r="B283" s="237"/>
      <c r="C283" s="237"/>
    </row>
    <row r="284">
      <c r="A284" s="237"/>
      <c r="B284" s="237"/>
      <c r="C284" s="237"/>
    </row>
    <row r="285">
      <c r="A285" s="237"/>
      <c r="B285" s="237"/>
      <c r="C285" s="237"/>
    </row>
    <row r="286">
      <c r="A286" s="237"/>
      <c r="B286" s="237"/>
      <c r="C286" s="237"/>
    </row>
    <row r="287">
      <c r="A287" s="237"/>
      <c r="B287" s="237"/>
      <c r="C287" s="237"/>
    </row>
    <row r="288">
      <c r="A288" s="237"/>
      <c r="B288" s="237"/>
      <c r="C288" s="237"/>
    </row>
    <row r="289">
      <c r="A289" s="237"/>
      <c r="B289" s="237"/>
      <c r="C289" s="237"/>
    </row>
    <row r="290">
      <c r="A290" s="237"/>
      <c r="B290" s="237"/>
      <c r="C290" s="237"/>
    </row>
    <row r="291">
      <c r="A291" s="237"/>
      <c r="B291" s="237"/>
      <c r="C291" s="237"/>
    </row>
    <row r="292">
      <c r="A292" s="237"/>
      <c r="B292" s="237"/>
      <c r="C292" s="237"/>
    </row>
    <row r="293">
      <c r="A293" s="237"/>
      <c r="B293" s="237"/>
      <c r="C293" s="237"/>
    </row>
    <row r="294">
      <c r="A294" s="237"/>
      <c r="B294" s="237"/>
      <c r="C294" s="237"/>
    </row>
    <row r="295">
      <c r="A295" s="237"/>
      <c r="B295" s="237"/>
      <c r="C295" s="237"/>
    </row>
    <row r="296">
      <c r="A296" s="237"/>
      <c r="B296" s="237"/>
      <c r="C296" s="237"/>
    </row>
    <row r="297">
      <c r="A297" s="237"/>
      <c r="B297" s="237"/>
      <c r="C297" s="237"/>
    </row>
    <row r="298">
      <c r="A298" s="237"/>
      <c r="B298" s="237"/>
      <c r="C298" s="237"/>
    </row>
    <row r="299">
      <c r="A299" s="237"/>
      <c r="B299" s="237"/>
      <c r="C299" s="237"/>
    </row>
    <row r="300">
      <c r="A300" s="237"/>
      <c r="B300" s="237"/>
      <c r="C300" s="237"/>
    </row>
    <row r="301">
      <c r="A301" s="237"/>
      <c r="B301" s="237"/>
      <c r="C301" s="237"/>
    </row>
    <row r="302">
      <c r="A302" s="237"/>
      <c r="B302" s="237"/>
      <c r="C302" s="237"/>
    </row>
    <row r="303">
      <c r="A303" s="237"/>
      <c r="B303" s="237"/>
      <c r="C303" s="237"/>
    </row>
    <row r="304">
      <c r="A304" s="237"/>
      <c r="B304" s="237"/>
      <c r="C304" s="237"/>
    </row>
    <row r="305">
      <c r="A305" s="237"/>
      <c r="B305" s="237"/>
      <c r="C305" s="237"/>
    </row>
    <row r="306">
      <c r="A306" s="237"/>
      <c r="B306" s="237"/>
      <c r="C306" s="237"/>
    </row>
    <row r="307">
      <c r="A307" s="237"/>
      <c r="B307" s="237"/>
      <c r="C307" s="237"/>
    </row>
    <row r="308">
      <c r="A308" s="237"/>
      <c r="B308" s="237"/>
      <c r="C308" s="237"/>
    </row>
    <row r="309">
      <c r="A309" s="237"/>
      <c r="B309" s="237"/>
      <c r="C309" s="237"/>
    </row>
    <row r="310">
      <c r="A310" s="237"/>
      <c r="B310" s="237"/>
      <c r="C310" s="237"/>
    </row>
    <row r="311">
      <c r="A311" s="237"/>
      <c r="B311" s="237"/>
      <c r="C311" s="237"/>
    </row>
    <row r="312">
      <c r="A312" s="237"/>
      <c r="B312" s="237"/>
      <c r="C312" s="237"/>
    </row>
    <row r="313">
      <c r="A313" s="237"/>
      <c r="B313" s="237"/>
      <c r="C313" s="237"/>
    </row>
    <row r="314">
      <c r="A314" s="237"/>
      <c r="B314" s="237"/>
      <c r="C314" s="237"/>
    </row>
    <row r="315">
      <c r="A315" s="237"/>
      <c r="B315" s="237"/>
      <c r="C315" s="237"/>
    </row>
    <row r="316">
      <c r="A316" s="237"/>
      <c r="B316" s="237"/>
      <c r="C316" s="237"/>
    </row>
    <row r="317">
      <c r="A317" s="237"/>
      <c r="B317" s="237"/>
      <c r="C317" s="237"/>
    </row>
    <row r="318">
      <c r="A318" s="237"/>
      <c r="B318" s="237"/>
      <c r="C318" s="237"/>
    </row>
    <row r="319">
      <c r="A319" s="237"/>
      <c r="B319" s="237"/>
      <c r="C319" s="237"/>
    </row>
    <row r="320">
      <c r="A320" s="237"/>
      <c r="B320" s="237"/>
      <c r="C320" s="237"/>
    </row>
    <row r="321">
      <c r="A321" s="237"/>
      <c r="B321" s="237"/>
      <c r="C321" s="237"/>
    </row>
    <row r="322">
      <c r="A322" s="237"/>
      <c r="B322" s="237"/>
      <c r="C322" s="237"/>
    </row>
    <row r="323">
      <c r="A323" s="237"/>
      <c r="B323" s="237"/>
      <c r="C323" s="237"/>
    </row>
    <row r="324">
      <c r="A324" s="237"/>
      <c r="B324" s="237"/>
      <c r="C324" s="237"/>
    </row>
    <row r="325">
      <c r="A325" s="237"/>
      <c r="B325" s="237"/>
      <c r="C325" s="237"/>
    </row>
    <row r="326">
      <c r="A326" s="237"/>
      <c r="B326" s="237"/>
      <c r="C326" s="237"/>
    </row>
    <row r="327">
      <c r="A327" s="237"/>
      <c r="B327" s="237"/>
      <c r="C327" s="237"/>
    </row>
    <row r="328">
      <c r="A328" s="237"/>
      <c r="B328" s="237"/>
      <c r="C328" s="237"/>
    </row>
    <row r="329">
      <c r="A329" s="237"/>
      <c r="B329" s="237"/>
      <c r="C329" s="237"/>
    </row>
    <row r="330">
      <c r="A330" s="237"/>
      <c r="B330" s="237"/>
      <c r="C330" s="237"/>
    </row>
    <row r="331">
      <c r="A331" s="237"/>
      <c r="B331" s="237"/>
      <c r="C331" s="237"/>
    </row>
    <row r="332">
      <c r="A332" s="237"/>
      <c r="B332" s="237"/>
      <c r="C332" s="237"/>
    </row>
    <row r="333">
      <c r="A333" s="237"/>
      <c r="B333" s="237"/>
      <c r="C333" s="237"/>
    </row>
    <row r="334">
      <c r="A334" s="237"/>
      <c r="B334" s="237"/>
      <c r="C334" s="237"/>
    </row>
    <row r="335">
      <c r="A335" s="237"/>
      <c r="B335" s="237"/>
      <c r="C335" s="237"/>
    </row>
    <row r="336">
      <c r="A336" s="237"/>
      <c r="B336" s="237"/>
      <c r="C336" s="237"/>
    </row>
    <row r="337">
      <c r="A337" s="237"/>
      <c r="B337" s="237"/>
      <c r="C337" s="237"/>
    </row>
    <row r="338">
      <c r="A338" s="237"/>
      <c r="B338" s="237"/>
      <c r="C338" s="237"/>
    </row>
    <row r="339">
      <c r="A339" s="237"/>
      <c r="B339" s="237"/>
      <c r="C339" s="237"/>
    </row>
    <row r="340">
      <c r="A340" s="237"/>
      <c r="B340" s="237"/>
      <c r="C340" s="237"/>
    </row>
    <row r="341">
      <c r="A341" s="237"/>
      <c r="B341" s="237"/>
      <c r="C341" s="237"/>
    </row>
    <row r="342">
      <c r="A342" s="237"/>
      <c r="B342" s="237"/>
      <c r="C342" s="237"/>
    </row>
    <row r="343">
      <c r="A343" s="237"/>
      <c r="B343" s="237"/>
      <c r="C343" s="237"/>
    </row>
    <row r="344">
      <c r="A344" s="237"/>
      <c r="B344" s="237"/>
      <c r="C344" s="237"/>
    </row>
    <row r="345">
      <c r="A345" s="237"/>
      <c r="B345" s="237"/>
      <c r="C345" s="237"/>
    </row>
    <row r="346">
      <c r="A346" s="237"/>
      <c r="B346" s="237"/>
      <c r="C346" s="237"/>
    </row>
    <row r="347">
      <c r="A347" s="237"/>
      <c r="B347" s="237"/>
      <c r="C347" s="237"/>
    </row>
    <row r="348">
      <c r="A348" s="237"/>
      <c r="B348" s="237"/>
      <c r="C348" s="237"/>
    </row>
    <row r="349">
      <c r="A349" s="237"/>
      <c r="B349" s="237"/>
      <c r="C349" s="237"/>
    </row>
    <row r="350">
      <c r="A350" s="237"/>
      <c r="B350" s="237"/>
      <c r="C350" s="237"/>
    </row>
    <row r="351">
      <c r="A351" s="237"/>
      <c r="B351" s="237"/>
      <c r="C351" s="237"/>
    </row>
    <row r="352">
      <c r="A352" s="237"/>
      <c r="B352" s="237"/>
      <c r="C352" s="237"/>
    </row>
    <row r="353">
      <c r="A353" s="237"/>
      <c r="B353" s="237"/>
      <c r="C353" s="237"/>
    </row>
    <row r="354">
      <c r="A354" s="237"/>
      <c r="B354" s="237"/>
      <c r="C354" s="237"/>
    </row>
    <row r="355">
      <c r="A355" s="237"/>
      <c r="B355" s="237"/>
      <c r="C355" s="237"/>
    </row>
    <row r="356">
      <c r="A356" s="237"/>
      <c r="B356" s="237"/>
      <c r="C356" s="237"/>
    </row>
    <row r="357">
      <c r="A357" s="237"/>
      <c r="B357" s="237"/>
      <c r="C357" s="237"/>
    </row>
    <row r="358">
      <c r="A358" s="237"/>
      <c r="B358" s="237"/>
      <c r="C358" s="237"/>
    </row>
    <row r="359">
      <c r="A359" s="237"/>
      <c r="B359" s="237"/>
      <c r="C359" s="237"/>
    </row>
    <row r="360">
      <c r="A360" s="237"/>
      <c r="B360" s="237"/>
      <c r="C360" s="237"/>
    </row>
    <row r="361">
      <c r="A361" s="237"/>
      <c r="B361" s="237"/>
      <c r="C361" s="237"/>
    </row>
    <row r="362">
      <c r="A362" s="237"/>
      <c r="B362" s="237"/>
      <c r="C362" s="237"/>
    </row>
    <row r="363">
      <c r="A363" s="237"/>
      <c r="B363" s="237"/>
      <c r="C363" s="237"/>
    </row>
    <row r="364">
      <c r="A364" s="237"/>
      <c r="B364" s="237"/>
      <c r="C364" s="237"/>
    </row>
    <row r="365">
      <c r="A365" s="237"/>
      <c r="B365" s="237"/>
      <c r="C365" s="237"/>
    </row>
    <row r="366">
      <c r="A366" s="237"/>
      <c r="B366" s="237"/>
      <c r="C366" s="237"/>
    </row>
    <row r="367">
      <c r="A367" s="237"/>
      <c r="B367" s="237"/>
      <c r="C367" s="237"/>
    </row>
    <row r="368">
      <c r="A368" s="237"/>
      <c r="B368" s="237"/>
      <c r="C368" s="237"/>
    </row>
    <row r="369">
      <c r="A369" s="237"/>
      <c r="B369" s="237"/>
      <c r="C369" s="237"/>
    </row>
    <row r="370">
      <c r="A370" s="237"/>
      <c r="B370" s="237"/>
      <c r="C370" s="237"/>
    </row>
    <row r="371">
      <c r="A371" s="237"/>
      <c r="B371" s="237"/>
      <c r="C371" s="237"/>
    </row>
    <row r="372">
      <c r="A372" s="237"/>
      <c r="B372" s="237"/>
      <c r="C372" s="237"/>
    </row>
    <row r="373">
      <c r="A373" s="237"/>
      <c r="B373" s="237"/>
      <c r="C373" s="237"/>
    </row>
    <row r="374">
      <c r="A374" s="237"/>
      <c r="B374" s="237"/>
      <c r="C374" s="237"/>
    </row>
    <row r="375">
      <c r="A375" s="237"/>
      <c r="B375" s="237"/>
      <c r="C375" s="237"/>
    </row>
    <row r="376">
      <c r="A376" s="237"/>
      <c r="B376" s="237"/>
      <c r="C376" s="237"/>
    </row>
    <row r="377">
      <c r="A377" s="237"/>
      <c r="B377" s="237"/>
      <c r="C377" s="237"/>
    </row>
    <row r="378">
      <c r="A378" s="237"/>
      <c r="B378" s="237"/>
      <c r="C378" s="237"/>
    </row>
    <row r="379">
      <c r="A379" s="237"/>
      <c r="B379" s="237"/>
      <c r="C379" s="237"/>
    </row>
    <row r="380">
      <c r="A380" s="237"/>
      <c r="B380" s="237"/>
      <c r="C380" s="237"/>
    </row>
    <row r="381">
      <c r="A381" s="237"/>
      <c r="B381" s="237"/>
      <c r="C381" s="237"/>
    </row>
    <row r="382">
      <c r="A382" s="237"/>
      <c r="B382" s="237"/>
      <c r="C382" s="237"/>
    </row>
    <row r="383">
      <c r="A383" s="237"/>
      <c r="B383" s="237"/>
      <c r="C383" s="237"/>
    </row>
    <row r="384">
      <c r="A384" s="237"/>
      <c r="B384" s="237"/>
      <c r="C384" s="237"/>
    </row>
    <row r="385">
      <c r="A385" s="237"/>
      <c r="B385" s="237"/>
      <c r="C385" s="237"/>
    </row>
    <row r="386">
      <c r="A386" s="237"/>
      <c r="B386" s="237"/>
      <c r="C386" s="237"/>
    </row>
    <row r="387">
      <c r="A387" s="237"/>
      <c r="B387" s="237"/>
      <c r="C387" s="237"/>
    </row>
    <row r="388">
      <c r="A388" s="237"/>
      <c r="B388" s="237"/>
      <c r="C388" s="237"/>
    </row>
    <row r="389">
      <c r="A389" s="237"/>
      <c r="B389" s="237"/>
      <c r="C389" s="237"/>
    </row>
    <row r="390">
      <c r="A390" s="237"/>
      <c r="B390" s="237"/>
      <c r="C390" s="237"/>
    </row>
    <row r="391">
      <c r="A391" s="237"/>
      <c r="B391" s="237"/>
      <c r="C391" s="237"/>
    </row>
    <row r="392">
      <c r="A392" s="237"/>
      <c r="B392" s="237"/>
      <c r="C392" s="237"/>
    </row>
    <row r="393">
      <c r="A393" s="237"/>
      <c r="B393" s="237"/>
      <c r="C393" s="237"/>
    </row>
    <row r="394">
      <c r="A394" s="237"/>
      <c r="B394" s="237"/>
      <c r="C394" s="237"/>
    </row>
    <row r="395">
      <c r="A395" s="237"/>
      <c r="B395" s="237"/>
      <c r="C395" s="237"/>
    </row>
    <row r="396">
      <c r="A396" s="237"/>
      <c r="B396" s="237"/>
      <c r="C396" s="237"/>
    </row>
    <row r="397">
      <c r="A397" s="237"/>
      <c r="B397" s="237"/>
      <c r="C397" s="237"/>
    </row>
    <row r="398">
      <c r="A398" s="237"/>
      <c r="B398" s="237"/>
      <c r="C398" s="237"/>
    </row>
    <row r="399">
      <c r="A399" s="237"/>
      <c r="B399" s="237"/>
      <c r="C399" s="237"/>
    </row>
    <row r="400">
      <c r="A400" s="237"/>
      <c r="B400" s="237"/>
      <c r="C400" s="237"/>
    </row>
    <row r="401">
      <c r="A401" s="237"/>
      <c r="B401" s="237"/>
      <c r="C401" s="237"/>
    </row>
    <row r="402">
      <c r="A402" s="237"/>
      <c r="B402" s="237"/>
      <c r="C402" s="237"/>
    </row>
    <row r="403">
      <c r="A403" s="237"/>
      <c r="B403" s="237"/>
      <c r="C403" s="237"/>
    </row>
    <row r="404">
      <c r="A404" s="237"/>
      <c r="B404" s="237"/>
      <c r="C404" s="237"/>
    </row>
    <row r="405">
      <c r="A405" s="237"/>
      <c r="B405" s="237"/>
      <c r="C405" s="237"/>
    </row>
    <row r="406">
      <c r="A406" s="237"/>
      <c r="B406" s="237"/>
      <c r="C406" s="237"/>
    </row>
    <row r="407">
      <c r="A407" s="237"/>
      <c r="B407" s="237"/>
      <c r="C407" s="237"/>
    </row>
    <row r="408">
      <c r="A408" s="237"/>
      <c r="B408" s="237"/>
      <c r="C408" s="237"/>
    </row>
    <row r="409">
      <c r="A409" s="237"/>
      <c r="B409" s="237"/>
      <c r="C409" s="237"/>
    </row>
    <row r="410">
      <c r="A410" s="237"/>
      <c r="B410" s="237"/>
      <c r="C410" s="237"/>
    </row>
    <row r="411">
      <c r="A411" s="237"/>
      <c r="B411" s="237"/>
      <c r="C411" s="237"/>
    </row>
    <row r="412">
      <c r="A412" s="237"/>
      <c r="B412" s="237"/>
      <c r="C412" s="237"/>
    </row>
    <row r="413">
      <c r="A413" s="237"/>
      <c r="B413" s="237"/>
      <c r="C413" s="237"/>
    </row>
    <row r="414">
      <c r="A414" s="237"/>
      <c r="B414" s="237"/>
      <c r="C414" s="237"/>
    </row>
    <row r="415">
      <c r="A415" s="237"/>
      <c r="B415" s="237"/>
      <c r="C415" s="237"/>
    </row>
    <row r="416">
      <c r="A416" s="237"/>
      <c r="B416" s="237"/>
      <c r="C416" s="237"/>
    </row>
    <row r="417">
      <c r="A417" s="237"/>
      <c r="B417" s="237"/>
      <c r="C417" s="237"/>
    </row>
    <row r="418">
      <c r="A418" s="237"/>
      <c r="B418" s="237"/>
      <c r="C418" s="237"/>
    </row>
    <row r="419">
      <c r="A419" s="237"/>
      <c r="B419" s="237"/>
      <c r="C419" s="237"/>
    </row>
    <row r="420">
      <c r="A420" s="237"/>
      <c r="B420" s="237"/>
      <c r="C420" s="237"/>
    </row>
    <row r="421">
      <c r="A421" s="237"/>
      <c r="B421" s="237"/>
      <c r="C421" s="237"/>
    </row>
    <row r="422">
      <c r="A422" s="237"/>
      <c r="B422" s="237"/>
      <c r="C422" s="237"/>
    </row>
    <row r="423">
      <c r="A423" s="237"/>
      <c r="B423" s="237"/>
      <c r="C423" s="237"/>
    </row>
    <row r="424">
      <c r="A424" s="237"/>
      <c r="B424" s="237"/>
      <c r="C424" s="237"/>
    </row>
    <row r="425">
      <c r="A425" s="237"/>
      <c r="B425" s="237"/>
      <c r="C425" s="237"/>
    </row>
    <row r="426">
      <c r="A426" s="237"/>
      <c r="B426" s="237"/>
      <c r="C426" s="237"/>
    </row>
    <row r="427">
      <c r="A427" s="237"/>
      <c r="B427" s="237"/>
      <c r="C427" s="237"/>
    </row>
    <row r="428">
      <c r="A428" s="237"/>
      <c r="B428" s="237"/>
      <c r="C428" s="237"/>
    </row>
    <row r="429">
      <c r="A429" s="237"/>
      <c r="B429" s="237"/>
      <c r="C429" s="237"/>
    </row>
    <row r="430">
      <c r="A430" s="237"/>
      <c r="B430" s="237"/>
      <c r="C430" s="237"/>
    </row>
    <row r="431">
      <c r="A431" s="237"/>
      <c r="B431" s="237"/>
      <c r="C431" s="237"/>
    </row>
    <row r="432">
      <c r="A432" s="237"/>
      <c r="B432" s="237"/>
      <c r="C432" s="237"/>
    </row>
    <row r="433">
      <c r="A433" s="237"/>
      <c r="B433" s="237"/>
      <c r="C433" s="237"/>
    </row>
    <row r="434">
      <c r="A434" s="237"/>
      <c r="B434" s="237"/>
      <c r="C434" s="237"/>
    </row>
    <row r="435">
      <c r="A435" s="237"/>
      <c r="B435" s="237"/>
      <c r="C435" s="237"/>
    </row>
    <row r="436">
      <c r="A436" s="237"/>
      <c r="B436" s="237"/>
      <c r="C436" s="237"/>
    </row>
    <row r="437">
      <c r="A437" s="237"/>
      <c r="B437" s="237"/>
      <c r="C437" s="237"/>
    </row>
    <row r="438">
      <c r="A438" s="237"/>
      <c r="B438" s="237"/>
      <c r="C438" s="237"/>
    </row>
    <row r="439">
      <c r="A439" s="237"/>
      <c r="B439" s="237"/>
      <c r="C439" s="237"/>
    </row>
    <row r="440">
      <c r="A440" s="237"/>
      <c r="B440" s="237"/>
      <c r="C440" s="237"/>
    </row>
    <row r="441">
      <c r="A441" s="237"/>
      <c r="B441" s="237"/>
      <c r="C441" s="237"/>
    </row>
    <row r="442">
      <c r="A442" s="237"/>
      <c r="B442" s="237"/>
      <c r="C442" s="237"/>
    </row>
    <row r="443">
      <c r="A443" s="237"/>
      <c r="B443" s="237"/>
      <c r="C443" s="237"/>
    </row>
    <row r="444">
      <c r="A444" s="237"/>
      <c r="B444" s="237"/>
      <c r="C444" s="237"/>
    </row>
    <row r="445">
      <c r="A445" s="237"/>
      <c r="B445" s="237"/>
      <c r="C445" s="237"/>
    </row>
    <row r="446">
      <c r="A446" s="237"/>
      <c r="B446" s="237"/>
      <c r="C446" s="237"/>
    </row>
    <row r="447">
      <c r="A447" s="237"/>
      <c r="B447" s="237"/>
      <c r="C447" s="237"/>
    </row>
    <row r="448">
      <c r="A448" s="237"/>
      <c r="B448" s="237"/>
      <c r="C448" s="237"/>
    </row>
    <row r="449">
      <c r="A449" s="237"/>
      <c r="B449" s="237"/>
      <c r="C449" s="237"/>
    </row>
    <row r="450">
      <c r="A450" s="237"/>
      <c r="B450" s="237"/>
      <c r="C450" s="237"/>
    </row>
    <row r="451">
      <c r="A451" s="237"/>
      <c r="B451" s="237"/>
      <c r="C451" s="237"/>
    </row>
    <row r="452">
      <c r="A452" s="237"/>
      <c r="B452" s="237"/>
      <c r="C452" s="237"/>
    </row>
    <row r="453">
      <c r="A453" s="237"/>
      <c r="B453" s="237"/>
      <c r="C453" s="237"/>
    </row>
    <row r="454">
      <c r="A454" s="237"/>
      <c r="B454" s="237"/>
      <c r="C454" s="237"/>
    </row>
    <row r="455">
      <c r="A455" s="237"/>
      <c r="B455" s="237"/>
      <c r="C455" s="237"/>
    </row>
    <row r="456">
      <c r="A456" s="237"/>
      <c r="B456" s="237"/>
      <c r="C456" s="237"/>
    </row>
    <row r="457">
      <c r="A457" s="237"/>
      <c r="B457" s="237"/>
      <c r="C457" s="237"/>
    </row>
    <row r="458">
      <c r="A458" s="237"/>
      <c r="B458" s="237"/>
      <c r="C458" s="237"/>
    </row>
    <row r="459">
      <c r="A459" s="237"/>
      <c r="B459" s="237"/>
      <c r="C459" s="237"/>
    </row>
    <row r="460">
      <c r="A460" s="237"/>
      <c r="B460" s="237"/>
      <c r="C460" s="237"/>
    </row>
    <row r="461">
      <c r="A461" s="237"/>
      <c r="B461" s="237"/>
      <c r="C461" s="237"/>
    </row>
    <row r="462">
      <c r="A462" s="237"/>
      <c r="B462" s="237"/>
      <c r="C462" s="237"/>
    </row>
    <row r="463">
      <c r="A463" s="237"/>
      <c r="B463" s="237"/>
      <c r="C463" s="237"/>
    </row>
    <row r="464">
      <c r="A464" s="237"/>
      <c r="B464" s="237"/>
      <c r="C464" s="237"/>
    </row>
    <row r="465">
      <c r="A465" s="237"/>
      <c r="B465" s="237"/>
      <c r="C465" s="237"/>
    </row>
    <row r="466">
      <c r="A466" s="237"/>
      <c r="B466" s="237"/>
      <c r="C466" s="237"/>
    </row>
    <row r="467">
      <c r="A467" s="237"/>
      <c r="B467" s="237"/>
      <c r="C467" s="237"/>
    </row>
    <row r="468">
      <c r="A468" s="237"/>
      <c r="B468" s="237"/>
      <c r="C468" s="237"/>
    </row>
    <row r="469">
      <c r="A469" s="237"/>
      <c r="B469" s="237"/>
      <c r="C469" s="237"/>
    </row>
    <row r="470">
      <c r="A470" s="237"/>
      <c r="B470" s="237"/>
      <c r="C470" s="237"/>
    </row>
    <row r="471">
      <c r="A471" s="237"/>
      <c r="B471" s="237"/>
      <c r="C471" s="237"/>
    </row>
    <row r="472">
      <c r="A472" s="237"/>
      <c r="B472" s="237"/>
      <c r="C472" s="237"/>
    </row>
    <row r="473">
      <c r="A473" s="237"/>
      <c r="B473" s="237"/>
      <c r="C473" s="237"/>
    </row>
    <row r="474">
      <c r="A474" s="237"/>
      <c r="B474" s="237"/>
      <c r="C474" s="237"/>
    </row>
    <row r="475">
      <c r="A475" s="237"/>
      <c r="B475" s="237"/>
      <c r="C475" s="237"/>
    </row>
    <row r="476">
      <c r="A476" s="237"/>
      <c r="B476" s="237"/>
      <c r="C476" s="237"/>
    </row>
    <row r="477">
      <c r="A477" s="237"/>
      <c r="B477" s="237"/>
      <c r="C477" s="237"/>
    </row>
    <row r="478">
      <c r="A478" s="237"/>
      <c r="B478" s="237"/>
      <c r="C478" s="237"/>
    </row>
    <row r="479">
      <c r="A479" s="237"/>
      <c r="B479" s="237"/>
      <c r="C479" s="237"/>
    </row>
    <row r="480">
      <c r="A480" s="237"/>
      <c r="B480" s="237"/>
      <c r="C480" s="237"/>
    </row>
    <row r="481">
      <c r="A481" s="237"/>
      <c r="B481" s="237"/>
      <c r="C481" s="237"/>
    </row>
    <row r="482">
      <c r="A482" s="237"/>
      <c r="B482" s="237"/>
      <c r="C482" s="237"/>
    </row>
    <row r="483">
      <c r="A483" s="237"/>
      <c r="B483" s="237"/>
      <c r="C483" s="237"/>
    </row>
    <row r="484">
      <c r="A484" s="237"/>
      <c r="B484" s="237"/>
      <c r="C484" s="237"/>
    </row>
    <row r="485">
      <c r="A485" s="237"/>
      <c r="B485" s="237"/>
      <c r="C485" s="237"/>
    </row>
    <row r="486">
      <c r="A486" s="237"/>
      <c r="B486" s="237"/>
      <c r="C486" s="237"/>
    </row>
    <row r="487">
      <c r="A487" s="237"/>
      <c r="B487" s="237"/>
      <c r="C487" s="237"/>
    </row>
    <row r="488">
      <c r="A488" s="237"/>
      <c r="B488" s="237"/>
      <c r="C488" s="237"/>
    </row>
    <row r="489">
      <c r="A489" s="237"/>
      <c r="B489" s="237"/>
      <c r="C489" s="237"/>
    </row>
    <row r="490">
      <c r="A490" s="237"/>
      <c r="B490" s="237"/>
      <c r="C490" s="237"/>
    </row>
    <row r="491">
      <c r="A491" s="237"/>
      <c r="B491" s="237"/>
      <c r="C491" s="237"/>
    </row>
    <row r="492">
      <c r="A492" s="237"/>
      <c r="B492" s="237"/>
      <c r="C492" s="237"/>
    </row>
    <row r="493">
      <c r="A493" s="237"/>
      <c r="B493" s="237"/>
      <c r="C493" s="237"/>
    </row>
    <row r="494">
      <c r="A494" s="237"/>
      <c r="B494" s="237"/>
      <c r="C494" s="237"/>
    </row>
    <row r="495">
      <c r="A495" s="237"/>
      <c r="B495" s="237"/>
      <c r="C495" s="237"/>
    </row>
    <row r="496">
      <c r="A496" s="237"/>
      <c r="B496" s="237"/>
      <c r="C496" s="237"/>
    </row>
    <row r="497">
      <c r="A497" s="237"/>
      <c r="B497" s="237"/>
      <c r="C497" s="237"/>
    </row>
    <row r="498">
      <c r="A498" s="237"/>
      <c r="B498" s="237"/>
      <c r="C498" s="237"/>
    </row>
    <row r="499">
      <c r="A499" s="237"/>
      <c r="B499" s="237"/>
      <c r="C499" s="237"/>
    </row>
    <row r="500">
      <c r="A500" s="237"/>
      <c r="B500" s="237"/>
      <c r="C500" s="237"/>
    </row>
    <row r="501">
      <c r="A501" s="237"/>
      <c r="B501" s="237"/>
      <c r="C501" s="237"/>
    </row>
    <row r="502">
      <c r="A502" s="237"/>
      <c r="B502" s="237"/>
      <c r="C502" s="237"/>
    </row>
    <row r="503">
      <c r="A503" s="237"/>
      <c r="B503" s="237"/>
      <c r="C503" s="237"/>
    </row>
    <row r="504">
      <c r="A504" s="237"/>
      <c r="B504" s="237"/>
      <c r="C504" s="237"/>
    </row>
    <row r="505">
      <c r="A505" s="237"/>
      <c r="B505" s="237"/>
      <c r="C505" s="237"/>
    </row>
    <row r="506">
      <c r="A506" s="237"/>
      <c r="B506" s="237"/>
      <c r="C506" s="237"/>
    </row>
    <row r="507">
      <c r="A507" s="237"/>
      <c r="B507" s="237"/>
      <c r="C507" s="237"/>
    </row>
    <row r="508">
      <c r="A508" s="237"/>
      <c r="B508" s="237"/>
      <c r="C508" s="237"/>
    </row>
    <row r="509">
      <c r="A509" s="237"/>
      <c r="B509" s="237"/>
      <c r="C509" s="237"/>
    </row>
    <row r="510">
      <c r="A510" s="237"/>
      <c r="B510" s="237"/>
      <c r="C510" s="237"/>
    </row>
    <row r="511">
      <c r="A511" s="237"/>
      <c r="B511" s="237"/>
      <c r="C511" s="237"/>
    </row>
    <row r="512">
      <c r="A512" s="237"/>
      <c r="B512" s="237"/>
      <c r="C512" s="237"/>
    </row>
    <row r="513">
      <c r="A513" s="237"/>
      <c r="B513" s="237"/>
      <c r="C513" s="237"/>
    </row>
    <row r="514">
      <c r="A514" s="237"/>
      <c r="B514" s="237"/>
      <c r="C514" s="237"/>
    </row>
    <row r="515">
      <c r="A515" s="237"/>
      <c r="B515" s="237"/>
      <c r="C515" s="237"/>
    </row>
    <row r="516">
      <c r="A516" s="237"/>
      <c r="B516" s="237"/>
      <c r="C516" s="237"/>
    </row>
    <row r="517">
      <c r="A517" s="237"/>
      <c r="B517" s="237"/>
      <c r="C517" s="237"/>
    </row>
    <row r="518">
      <c r="A518" s="237"/>
      <c r="B518" s="237"/>
      <c r="C518" s="237"/>
    </row>
    <row r="519">
      <c r="A519" s="237"/>
      <c r="B519" s="237"/>
      <c r="C519" s="237"/>
    </row>
    <row r="520">
      <c r="A520" s="237"/>
      <c r="B520" s="237"/>
      <c r="C520" s="237"/>
    </row>
    <row r="521">
      <c r="A521" s="237"/>
      <c r="B521" s="237"/>
      <c r="C521" s="237"/>
    </row>
    <row r="522">
      <c r="A522" s="237"/>
      <c r="B522" s="237"/>
      <c r="C522" s="237"/>
    </row>
    <row r="523">
      <c r="A523" s="237"/>
      <c r="B523" s="237"/>
      <c r="C523" s="237"/>
    </row>
    <row r="524">
      <c r="A524" s="237"/>
      <c r="B524" s="237"/>
      <c r="C524" s="237"/>
    </row>
    <row r="525">
      <c r="A525" s="237"/>
      <c r="B525" s="237"/>
      <c r="C525" s="237"/>
    </row>
    <row r="526">
      <c r="A526" s="237"/>
      <c r="B526" s="237"/>
      <c r="C526" s="237"/>
    </row>
    <row r="527">
      <c r="A527" s="237"/>
      <c r="B527" s="237"/>
      <c r="C527" s="237"/>
    </row>
    <row r="528">
      <c r="A528" s="237"/>
      <c r="B528" s="237"/>
      <c r="C528" s="237"/>
    </row>
    <row r="529">
      <c r="A529" s="237"/>
      <c r="B529" s="237"/>
      <c r="C529" s="237"/>
    </row>
    <row r="530">
      <c r="A530" s="237"/>
      <c r="B530" s="237"/>
      <c r="C530" s="237"/>
    </row>
    <row r="531">
      <c r="A531" s="237"/>
      <c r="B531" s="237"/>
      <c r="C531" s="237"/>
    </row>
    <row r="532">
      <c r="A532" s="237"/>
      <c r="B532" s="237"/>
      <c r="C532" s="237"/>
    </row>
    <row r="533">
      <c r="A533" s="237"/>
      <c r="B533" s="237"/>
      <c r="C533" s="237"/>
    </row>
    <row r="534">
      <c r="A534" s="237"/>
      <c r="B534" s="237"/>
      <c r="C534" s="237"/>
    </row>
    <row r="535">
      <c r="A535" s="237"/>
      <c r="B535" s="237"/>
      <c r="C535" s="237"/>
    </row>
    <row r="536">
      <c r="A536" s="237"/>
      <c r="B536" s="237"/>
      <c r="C536" s="237"/>
    </row>
    <row r="537">
      <c r="A537" s="237"/>
      <c r="B537" s="237"/>
      <c r="C537" s="237"/>
    </row>
    <row r="538">
      <c r="A538" s="237"/>
      <c r="B538" s="237"/>
      <c r="C538" s="237"/>
    </row>
    <row r="539">
      <c r="A539" s="237"/>
      <c r="B539" s="237"/>
      <c r="C539" s="237"/>
    </row>
    <row r="540">
      <c r="A540" s="237"/>
      <c r="B540" s="237"/>
      <c r="C540" s="237"/>
    </row>
    <row r="541">
      <c r="A541" s="237"/>
      <c r="B541" s="237"/>
      <c r="C541" s="237"/>
    </row>
    <row r="542">
      <c r="A542" s="237"/>
      <c r="B542" s="237"/>
      <c r="C542" s="237"/>
    </row>
    <row r="543">
      <c r="A543" s="237"/>
      <c r="B543" s="237"/>
      <c r="C543" s="237"/>
    </row>
    <row r="544">
      <c r="A544" s="237"/>
      <c r="B544" s="237"/>
      <c r="C544" s="237"/>
    </row>
    <row r="545">
      <c r="A545" s="237"/>
      <c r="B545" s="237"/>
      <c r="C545" s="237"/>
    </row>
    <row r="546">
      <c r="A546" s="237"/>
      <c r="B546" s="237"/>
      <c r="C546" s="237"/>
    </row>
    <row r="547">
      <c r="A547" s="237"/>
      <c r="B547" s="237"/>
      <c r="C547" s="237"/>
    </row>
    <row r="548">
      <c r="A548" s="237"/>
      <c r="B548" s="237"/>
      <c r="C548" s="237"/>
    </row>
    <row r="549">
      <c r="A549" s="237"/>
      <c r="B549" s="237"/>
      <c r="C549" s="237"/>
    </row>
    <row r="550">
      <c r="A550" s="237"/>
      <c r="B550" s="237"/>
      <c r="C550" s="237"/>
    </row>
    <row r="551">
      <c r="A551" s="237"/>
      <c r="B551" s="237"/>
      <c r="C551" s="237"/>
    </row>
    <row r="552">
      <c r="A552" s="237"/>
      <c r="B552" s="237"/>
      <c r="C552" s="237"/>
    </row>
    <row r="553">
      <c r="A553" s="237"/>
      <c r="B553" s="237"/>
      <c r="C553" s="237"/>
    </row>
    <row r="554">
      <c r="A554" s="237"/>
      <c r="B554" s="237"/>
      <c r="C554" s="237"/>
    </row>
    <row r="555">
      <c r="A555" s="237"/>
      <c r="B555" s="237"/>
      <c r="C555" s="237"/>
    </row>
    <row r="556">
      <c r="A556" s="237"/>
      <c r="B556" s="237"/>
      <c r="C556" s="237"/>
    </row>
    <row r="557">
      <c r="A557" s="237"/>
      <c r="B557" s="237"/>
      <c r="C557" s="237"/>
    </row>
    <row r="558">
      <c r="A558" s="237"/>
      <c r="B558" s="237"/>
      <c r="C558" s="237"/>
    </row>
    <row r="559">
      <c r="A559" s="237"/>
      <c r="B559" s="237"/>
      <c r="C559" s="237"/>
    </row>
    <row r="560">
      <c r="A560" s="237"/>
      <c r="B560" s="237"/>
      <c r="C560" s="237"/>
    </row>
    <row r="561">
      <c r="A561" s="237"/>
      <c r="B561" s="237"/>
      <c r="C561" s="237"/>
    </row>
    <row r="562">
      <c r="A562" s="237"/>
      <c r="B562" s="237"/>
      <c r="C562" s="237"/>
    </row>
    <row r="563">
      <c r="A563" s="237"/>
      <c r="B563" s="237"/>
      <c r="C563" s="237"/>
    </row>
    <row r="564">
      <c r="A564" s="237"/>
      <c r="B564" s="237"/>
      <c r="C564" s="237"/>
    </row>
    <row r="565">
      <c r="A565" s="237"/>
      <c r="B565" s="237"/>
      <c r="C565" s="237"/>
    </row>
    <row r="566">
      <c r="A566" s="237"/>
      <c r="B566" s="237"/>
      <c r="C566" s="237"/>
    </row>
    <row r="567">
      <c r="A567" s="237"/>
      <c r="B567" s="237"/>
      <c r="C567" s="237"/>
    </row>
    <row r="568">
      <c r="A568" s="237"/>
      <c r="B568" s="237"/>
      <c r="C568" s="237"/>
    </row>
    <row r="569">
      <c r="A569" s="237"/>
      <c r="B569" s="237"/>
      <c r="C569" s="237"/>
    </row>
    <row r="570">
      <c r="A570" s="237"/>
      <c r="B570" s="237"/>
      <c r="C570" s="237"/>
    </row>
    <row r="571">
      <c r="A571" s="237"/>
      <c r="B571" s="237"/>
      <c r="C571" s="237"/>
    </row>
    <row r="572">
      <c r="A572" s="237"/>
      <c r="B572" s="237"/>
      <c r="C572" s="237"/>
    </row>
    <row r="573">
      <c r="A573" s="237"/>
      <c r="B573" s="237"/>
      <c r="C573" s="237"/>
    </row>
    <row r="574">
      <c r="A574" s="237"/>
      <c r="B574" s="237"/>
      <c r="C574" s="237"/>
    </row>
    <row r="575">
      <c r="A575" s="237"/>
      <c r="B575" s="237"/>
      <c r="C575" s="237"/>
    </row>
    <row r="576">
      <c r="A576" s="237"/>
      <c r="B576" s="237"/>
      <c r="C576" s="237"/>
    </row>
    <row r="577">
      <c r="A577" s="237"/>
      <c r="B577" s="237"/>
      <c r="C577" s="237"/>
    </row>
    <row r="578">
      <c r="A578" s="237"/>
      <c r="B578" s="237"/>
      <c r="C578" s="237"/>
    </row>
    <row r="579">
      <c r="A579" s="237"/>
      <c r="B579" s="237"/>
      <c r="C579" s="237"/>
    </row>
    <row r="580">
      <c r="A580" s="237"/>
      <c r="B580" s="237"/>
      <c r="C580" s="237"/>
    </row>
    <row r="581">
      <c r="A581" s="237"/>
      <c r="B581" s="237"/>
      <c r="C581" s="237"/>
    </row>
    <row r="582">
      <c r="A582" s="237"/>
      <c r="B582" s="237"/>
      <c r="C582" s="237"/>
    </row>
    <row r="583">
      <c r="A583" s="237"/>
      <c r="B583" s="237"/>
      <c r="C583" s="237"/>
    </row>
    <row r="584">
      <c r="A584" s="237"/>
      <c r="B584" s="237"/>
      <c r="C584" s="237"/>
    </row>
    <row r="585">
      <c r="A585" s="237"/>
      <c r="B585" s="237"/>
      <c r="C585" s="237"/>
    </row>
    <row r="586">
      <c r="A586" s="237"/>
      <c r="B586" s="237"/>
      <c r="C586" s="237"/>
    </row>
    <row r="587">
      <c r="A587" s="237"/>
      <c r="B587" s="237"/>
      <c r="C587" s="237"/>
    </row>
    <row r="588">
      <c r="A588" s="237"/>
      <c r="B588" s="237"/>
      <c r="C588" s="237"/>
    </row>
    <row r="589">
      <c r="A589" s="237"/>
      <c r="B589" s="237"/>
      <c r="C589" s="237"/>
    </row>
    <row r="590">
      <c r="A590" s="237"/>
      <c r="B590" s="237"/>
      <c r="C590" s="237"/>
    </row>
    <row r="591">
      <c r="A591" s="237"/>
      <c r="B591" s="237"/>
      <c r="C591" s="237"/>
    </row>
    <row r="592">
      <c r="A592" s="237"/>
      <c r="B592" s="237"/>
      <c r="C592" s="237"/>
    </row>
    <row r="593">
      <c r="A593" s="237"/>
      <c r="B593" s="237"/>
      <c r="C593" s="237"/>
    </row>
    <row r="594">
      <c r="A594" s="237"/>
      <c r="B594" s="237"/>
      <c r="C594" s="237"/>
    </row>
    <row r="595">
      <c r="A595" s="237"/>
      <c r="B595" s="237"/>
      <c r="C595" s="237"/>
    </row>
    <row r="596">
      <c r="A596" s="237"/>
      <c r="B596" s="237"/>
      <c r="C596" s="237"/>
    </row>
    <row r="597">
      <c r="A597" s="237"/>
      <c r="B597" s="237"/>
      <c r="C597" s="237"/>
    </row>
    <row r="598">
      <c r="A598" s="237"/>
      <c r="B598" s="237"/>
      <c r="C598" s="237"/>
    </row>
    <row r="599">
      <c r="A599" s="237"/>
      <c r="B599" s="237"/>
      <c r="C599" s="237"/>
    </row>
    <row r="600">
      <c r="A600" s="237"/>
      <c r="B600" s="237"/>
      <c r="C600" s="237"/>
    </row>
    <row r="601">
      <c r="A601" s="237"/>
      <c r="B601" s="237"/>
      <c r="C601" s="237"/>
    </row>
    <row r="602">
      <c r="A602" s="237"/>
      <c r="B602" s="237"/>
      <c r="C602" s="237"/>
    </row>
    <row r="603">
      <c r="A603" s="237"/>
      <c r="B603" s="237"/>
      <c r="C603" s="237"/>
    </row>
    <row r="604">
      <c r="A604" s="237"/>
      <c r="B604" s="237"/>
      <c r="C604" s="237"/>
    </row>
    <row r="605">
      <c r="A605" s="237"/>
      <c r="B605" s="237"/>
      <c r="C605" s="237"/>
    </row>
    <row r="606">
      <c r="A606" s="237"/>
      <c r="B606" s="237"/>
      <c r="C606" s="237"/>
    </row>
    <row r="607">
      <c r="A607" s="237"/>
      <c r="B607" s="237"/>
      <c r="C607" s="237"/>
    </row>
    <row r="608">
      <c r="A608" s="237"/>
      <c r="B608" s="237"/>
      <c r="C608" s="237"/>
    </row>
    <row r="609">
      <c r="A609" s="237"/>
      <c r="B609" s="237"/>
      <c r="C609" s="237"/>
    </row>
    <row r="610">
      <c r="A610" s="237"/>
      <c r="B610" s="237"/>
      <c r="C610" s="237"/>
    </row>
    <row r="611">
      <c r="A611" s="237"/>
      <c r="B611" s="237"/>
      <c r="C611" s="237"/>
    </row>
    <row r="612">
      <c r="A612" s="237"/>
      <c r="B612" s="237"/>
      <c r="C612" s="237"/>
    </row>
    <row r="613">
      <c r="A613" s="237"/>
      <c r="B613" s="237"/>
      <c r="C613" s="237"/>
    </row>
    <row r="614">
      <c r="A614" s="237"/>
      <c r="B614" s="237"/>
      <c r="C614" s="237"/>
    </row>
    <row r="615">
      <c r="A615" s="237"/>
      <c r="B615" s="237"/>
      <c r="C615" s="237"/>
    </row>
    <row r="616">
      <c r="A616" s="237"/>
      <c r="B616" s="237"/>
      <c r="C616" s="237"/>
    </row>
    <row r="617">
      <c r="A617" s="237"/>
      <c r="B617" s="237"/>
      <c r="C617" s="237"/>
    </row>
    <row r="618">
      <c r="A618" s="237"/>
      <c r="B618" s="237"/>
      <c r="C618" s="237"/>
    </row>
    <row r="619">
      <c r="A619" s="237"/>
      <c r="B619" s="237"/>
      <c r="C619" s="237"/>
    </row>
    <row r="620">
      <c r="A620" s="237"/>
      <c r="B620" s="237"/>
      <c r="C620" s="237"/>
    </row>
    <row r="621">
      <c r="A621" s="237"/>
      <c r="B621" s="237"/>
      <c r="C621" s="237"/>
    </row>
    <row r="622">
      <c r="A622" s="237"/>
      <c r="B622" s="237"/>
      <c r="C622" s="237"/>
    </row>
    <row r="623">
      <c r="A623" s="237"/>
      <c r="B623" s="237"/>
      <c r="C623" s="237"/>
    </row>
    <row r="624">
      <c r="A624" s="237"/>
      <c r="B624" s="237"/>
      <c r="C624" s="237"/>
    </row>
    <row r="625">
      <c r="A625" s="237"/>
      <c r="B625" s="237"/>
      <c r="C625" s="237"/>
    </row>
    <row r="626">
      <c r="A626" s="237"/>
      <c r="B626" s="237"/>
      <c r="C626" s="237"/>
    </row>
    <row r="627">
      <c r="A627" s="237"/>
      <c r="B627" s="237"/>
      <c r="C627" s="237"/>
    </row>
    <row r="628">
      <c r="A628" s="237"/>
      <c r="B628" s="237"/>
      <c r="C628" s="237"/>
    </row>
    <row r="629">
      <c r="A629" s="237"/>
      <c r="B629" s="237"/>
      <c r="C629" s="237"/>
    </row>
    <row r="630">
      <c r="A630" s="237"/>
      <c r="B630" s="237"/>
      <c r="C630" s="237"/>
    </row>
    <row r="631">
      <c r="A631" s="237"/>
      <c r="B631" s="237"/>
      <c r="C631" s="237"/>
    </row>
    <row r="632">
      <c r="A632" s="237"/>
      <c r="B632" s="237"/>
      <c r="C632" s="237"/>
    </row>
    <row r="633">
      <c r="A633" s="237"/>
      <c r="B633" s="237"/>
      <c r="C633" s="237"/>
    </row>
    <row r="634">
      <c r="A634" s="237"/>
      <c r="B634" s="237"/>
      <c r="C634" s="237"/>
    </row>
    <row r="635">
      <c r="A635" s="237"/>
      <c r="B635" s="237"/>
      <c r="C635" s="237"/>
    </row>
    <row r="636">
      <c r="A636" s="237"/>
      <c r="B636" s="237"/>
      <c r="C636" s="237"/>
    </row>
    <row r="637">
      <c r="A637" s="237"/>
      <c r="B637" s="237"/>
      <c r="C637" s="237"/>
    </row>
    <row r="638">
      <c r="A638" s="237"/>
      <c r="B638" s="237"/>
      <c r="C638" s="237"/>
    </row>
    <row r="639">
      <c r="A639" s="237"/>
      <c r="B639" s="237"/>
      <c r="C639" s="237"/>
    </row>
    <row r="640">
      <c r="A640" s="237"/>
      <c r="B640" s="237"/>
      <c r="C640" s="237"/>
    </row>
    <row r="641">
      <c r="A641" s="237"/>
      <c r="B641" s="237"/>
      <c r="C641" s="237"/>
    </row>
    <row r="642">
      <c r="A642" s="237"/>
      <c r="B642" s="237"/>
      <c r="C642" s="237"/>
    </row>
    <row r="643">
      <c r="A643" s="237"/>
      <c r="B643" s="237"/>
      <c r="C643" s="237"/>
    </row>
    <row r="644">
      <c r="A644" s="237"/>
      <c r="B644" s="237"/>
      <c r="C644" s="237"/>
    </row>
    <row r="645">
      <c r="A645" s="237"/>
      <c r="B645" s="237"/>
      <c r="C645" s="237"/>
    </row>
    <row r="646">
      <c r="A646" s="237"/>
      <c r="B646" s="237"/>
      <c r="C646" s="237"/>
    </row>
    <row r="647">
      <c r="A647" s="237"/>
      <c r="B647" s="237"/>
      <c r="C647" s="237"/>
    </row>
    <row r="648">
      <c r="A648" s="237"/>
      <c r="B648" s="237"/>
      <c r="C648" s="237"/>
    </row>
    <row r="649">
      <c r="A649" s="237"/>
      <c r="B649" s="237"/>
      <c r="C649" s="237"/>
    </row>
    <row r="650">
      <c r="A650" s="237"/>
      <c r="B650" s="237"/>
      <c r="C650" s="237"/>
    </row>
    <row r="651">
      <c r="A651" s="237"/>
      <c r="B651" s="237"/>
      <c r="C651" s="237"/>
    </row>
    <row r="652">
      <c r="A652" s="237"/>
      <c r="B652" s="237"/>
      <c r="C652" s="237"/>
    </row>
    <row r="653">
      <c r="A653" s="237"/>
      <c r="B653" s="237"/>
      <c r="C653" s="237"/>
    </row>
    <row r="654">
      <c r="A654" s="237"/>
      <c r="B654" s="237"/>
      <c r="C654" s="237"/>
    </row>
    <row r="655">
      <c r="A655" s="237"/>
      <c r="B655" s="237"/>
      <c r="C655" s="237"/>
    </row>
    <row r="656">
      <c r="A656" s="237"/>
      <c r="B656" s="237"/>
      <c r="C656" s="237"/>
    </row>
    <row r="657">
      <c r="A657" s="237"/>
      <c r="B657" s="237"/>
      <c r="C657" s="237"/>
    </row>
    <row r="658">
      <c r="A658" s="237"/>
      <c r="B658" s="237"/>
      <c r="C658" s="237"/>
    </row>
    <row r="659">
      <c r="A659" s="237"/>
      <c r="B659" s="237"/>
      <c r="C659" s="237"/>
    </row>
    <row r="660">
      <c r="A660" s="237"/>
      <c r="B660" s="237"/>
      <c r="C660" s="237"/>
    </row>
    <row r="661">
      <c r="A661" s="237"/>
      <c r="B661" s="237"/>
      <c r="C661" s="237"/>
    </row>
    <row r="662">
      <c r="A662" s="237"/>
      <c r="B662" s="237"/>
      <c r="C662" s="237"/>
    </row>
    <row r="663">
      <c r="A663" s="237"/>
      <c r="B663" s="237"/>
      <c r="C663" s="237"/>
    </row>
    <row r="664">
      <c r="A664" s="237"/>
      <c r="B664" s="237"/>
      <c r="C664" s="237"/>
    </row>
    <row r="665">
      <c r="A665" s="237"/>
      <c r="B665" s="237"/>
      <c r="C665" s="237"/>
    </row>
    <row r="666">
      <c r="A666" s="237"/>
      <c r="B666" s="237"/>
      <c r="C666" s="237"/>
    </row>
    <row r="667">
      <c r="A667" s="237"/>
      <c r="B667" s="237"/>
      <c r="C667" s="237"/>
    </row>
    <row r="668">
      <c r="A668" s="237"/>
      <c r="B668" s="237"/>
      <c r="C668" s="237"/>
    </row>
    <row r="669">
      <c r="A669" s="237"/>
      <c r="B669" s="237"/>
      <c r="C669" s="237"/>
    </row>
    <row r="670">
      <c r="A670" s="237"/>
      <c r="B670" s="237"/>
      <c r="C670" s="237"/>
    </row>
    <row r="671">
      <c r="A671" s="237"/>
      <c r="B671" s="237"/>
      <c r="C671" s="237"/>
    </row>
    <row r="672">
      <c r="A672" s="237"/>
      <c r="B672" s="237"/>
      <c r="C672" s="237"/>
    </row>
    <row r="673">
      <c r="A673" s="237"/>
      <c r="B673" s="237"/>
      <c r="C673" s="237"/>
    </row>
    <row r="674">
      <c r="A674" s="237"/>
      <c r="B674" s="237"/>
      <c r="C674" s="237"/>
    </row>
    <row r="675">
      <c r="A675" s="237"/>
      <c r="B675" s="237"/>
      <c r="C675" s="237"/>
    </row>
    <row r="676">
      <c r="A676" s="237"/>
      <c r="B676" s="237"/>
      <c r="C676" s="237"/>
    </row>
    <row r="677">
      <c r="A677" s="237"/>
      <c r="B677" s="237"/>
      <c r="C677" s="237"/>
    </row>
    <row r="678">
      <c r="A678" s="237"/>
      <c r="B678" s="237"/>
      <c r="C678" s="237"/>
    </row>
    <row r="679">
      <c r="A679" s="237"/>
      <c r="B679" s="237"/>
      <c r="C679" s="237"/>
    </row>
    <row r="680">
      <c r="A680" s="237"/>
      <c r="B680" s="237"/>
      <c r="C680" s="237"/>
    </row>
    <row r="681">
      <c r="A681" s="237"/>
      <c r="B681" s="237"/>
      <c r="C681" s="237"/>
    </row>
    <row r="682">
      <c r="A682" s="237"/>
      <c r="B682" s="237"/>
      <c r="C682" s="237"/>
    </row>
    <row r="683">
      <c r="A683" s="237"/>
      <c r="B683" s="237"/>
      <c r="C683" s="237"/>
    </row>
    <row r="684">
      <c r="A684" s="237"/>
      <c r="B684" s="237"/>
      <c r="C684" s="237"/>
    </row>
    <row r="685">
      <c r="A685" s="237"/>
      <c r="B685" s="237"/>
      <c r="C685" s="237"/>
    </row>
    <row r="686">
      <c r="A686" s="237"/>
      <c r="B686" s="237"/>
      <c r="C686" s="237"/>
    </row>
    <row r="687">
      <c r="A687" s="237"/>
      <c r="B687" s="237"/>
      <c r="C687" s="237"/>
    </row>
    <row r="688">
      <c r="A688" s="237"/>
      <c r="B688" s="237"/>
      <c r="C688" s="237"/>
    </row>
    <row r="689">
      <c r="A689" s="237"/>
      <c r="B689" s="237"/>
      <c r="C689" s="237"/>
    </row>
    <row r="690">
      <c r="A690" s="237"/>
      <c r="B690" s="237"/>
      <c r="C690" s="237"/>
    </row>
    <row r="691">
      <c r="A691" s="237"/>
      <c r="B691" s="237"/>
      <c r="C691" s="237"/>
    </row>
    <row r="692">
      <c r="A692" s="237"/>
      <c r="B692" s="237"/>
      <c r="C692" s="237"/>
    </row>
    <row r="693">
      <c r="A693" s="237"/>
      <c r="B693" s="237"/>
      <c r="C693" s="237"/>
    </row>
    <row r="694">
      <c r="A694" s="237"/>
      <c r="B694" s="237"/>
      <c r="C694" s="237"/>
    </row>
    <row r="695">
      <c r="A695" s="237"/>
      <c r="B695" s="237"/>
      <c r="C695" s="237"/>
    </row>
    <row r="696">
      <c r="A696" s="237"/>
      <c r="B696" s="237"/>
      <c r="C696" s="237"/>
    </row>
    <row r="697">
      <c r="A697" s="237"/>
      <c r="B697" s="237"/>
      <c r="C697" s="237"/>
    </row>
    <row r="698">
      <c r="A698" s="237"/>
      <c r="B698" s="237"/>
      <c r="C698" s="237"/>
    </row>
    <row r="699">
      <c r="A699" s="237"/>
      <c r="B699" s="237"/>
      <c r="C699" s="237"/>
    </row>
    <row r="700">
      <c r="A700" s="237"/>
      <c r="B700" s="237"/>
      <c r="C700" s="237"/>
    </row>
    <row r="701">
      <c r="A701" s="237"/>
      <c r="B701" s="237"/>
      <c r="C701" s="237"/>
    </row>
    <row r="702">
      <c r="A702" s="237"/>
      <c r="B702" s="237"/>
      <c r="C702" s="237"/>
    </row>
    <row r="703">
      <c r="A703" s="237"/>
      <c r="B703" s="237"/>
      <c r="C703" s="237"/>
    </row>
    <row r="704">
      <c r="A704" s="237"/>
      <c r="B704" s="237"/>
      <c r="C704" s="237"/>
    </row>
    <row r="705">
      <c r="A705" s="237"/>
      <c r="B705" s="237"/>
      <c r="C705" s="237"/>
    </row>
    <row r="706">
      <c r="A706" s="237"/>
      <c r="B706" s="237"/>
      <c r="C706" s="237"/>
    </row>
    <row r="707">
      <c r="A707" s="237"/>
      <c r="B707" s="237"/>
      <c r="C707" s="237"/>
    </row>
    <row r="708">
      <c r="A708" s="237"/>
      <c r="B708" s="237"/>
      <c r="C708" s="237"/>
    </row>
    <row r="709">
      <c r="A709" s="237"/>
      <c r="B709" s="237"/>
      <c r="C709" s="237"/>
    </row>
    <row r="710">
      <c r="A710" s="237"/>
      <c r="B710" s="237"/>
      <c r="C710" s="237"/>
    </row>
    <row r="711">
      <c r="A711" s="237"/>
      <c r="B711" s="237"/>
      <c r="C711" s="237"/>
    </row>
    <row r="712">
      <c r="A712" s="237"/>
      <c r="B712" s="237"/>
      <c r="C712" s="237"/>
    </row>
    <row r="713">
      <c r="A713" s="237"/>
      <c r="B713" s="237"/>
      <c r="C713" s="237"/>
    </row>
    <row r="714">
      <c r="A714" s="237"/>
      <c r="B714" s="237"/>
      <c r="C714" s="237"/>
    </row>
    <row r="715">
      <c r="A715" s="237"/>
      <c r="B715" s="237"/>
      <c r="C715" s="237"/>
    </row>
    <row r="716">
      <c r="A716" s="237"/>
      <c r="B716" s="237"/>
      <c r="C716" s="237"/>
    </row>
    <row r="717">
      <c r="A717" s="237"/>
      <c r="B717" s="237"/>
      <c r="C717" s="237"/>
    </row>
    <row r="718">
      <c r="A718" s="237"/>
      <c r="B718" s="237"/>
      <c r="C718" s="237"/>
    </row>
    <row r="719">
      <c r="A719" s="237"/>
      <c r="B719" s="237"/>
      <c r="C719" s="237"/>
    </row>
    <row r="720">
      <c r="A720" s="237"/>
      <c r="B720" s="237"/>
      <c r="C720" s="237"/>
    </row>
    <row r="721">
      <c r="A721" s="237"/>
      <c r="B721" s="237"/>
      <c r="C721" s="237"/>
    </row>
    <row r="722">
      <c r="A722" s="237"/>
      <c r="B722" s="237"/>
      <c r="C722" s="237"/>
    </row>
    <row r="723">
      <c r="A723" s="237"/>
      <c r="B723" s="237"/>
      <c r="C723" s="237"/>
    </row>
    <row r="724">
      <c r="A724" s="237"/>
      <c r="B724" s="237"/>
      <c r="C724" s="237"/>
    </row>
    <row r="725">
      <c r="A725" s="237"/>
      <c r="B725" s="237"/>
      <c r="C725" s="237"/>
    </row>
    <row r="726">
      <c r="A726" s="237"/>
      <c r="B726" s="237"/>
      <c r="C726" s="237"/>
    </row>
    <row r="727">
      <c r="A727" s="237"/>
      <c r="B727" s="237"/>
      <c r="C727" s="237"/>
    </row>
    <row r="728">
      <c r="A728" s="237"/>
      <c r="B728" s="237"/>
      <c r="C728" s="237"/>
    </row>
    <row r="729">
      <c r="A729" s="237"/>
      <c r="B729" s="237"/>
      <c r="C729" s="237"/>
    </row>
    <row r="730">
      <c r="A730" s="237"/>
      <c r="B730" s="237"/>
      <c r="C730" s="237"/>
    </row>
    <row r="731">
      <c r="A731" s="237"/>
      <c r="B731" s="237"/>
      <c r="C731" s="237"/>
    </row>
    <row r="732">
      <c r="A732" s="237"/>
      <c r="B732" s="237"/>
      <c r="C732" s="237"/>
    </row>
    <row r="733">
      <c r="A733" s="237"/>
      <c r="B733" s="237"/>
      <c r="C733" s="237"/>
    </row>
    <row r="734">
      <c r="A734" s="237"/>
      <c r="B734" s="237"/>
      <c r="C734" s="237"/>
    </row>
    <row r="735">
      <c r="A735" s="237"/>
      <c r="B735" s="237"/>
      <c r="C735" s="237"/>
    </row>
    <row r="736">
      <c r="A736" s="237"/>
      <c r="B736" s="237"/>
      <c r="C736" s="237"/>
    </row>
    <row r="737">
      <c r="A737" s="237"/>
      <c r="B737" s="237"/>
      <c r="C737" s="237"/>
    </row>
    <row r="738">
      <c r="A738" s="237"/>
      <c r="B738" s="237"/>
      <c r="C738" s="237"/>
    </row>
    <row r="739">
      <c r="A739" s="237"/>
      <c r="B739" s="237"/>
      <c r="C739" s="237"/>
    </row>
    <row r="740">
      <c r="A740" s="237"/>
      <c r="B740" s="237"/>
      <c r="C740" s="237"/>
    </row>
    <row r="741">
      <c r="A741" s="237"/>
      <c r="B741" s="237"/>
      <c r="C741" s="237"/>
    </row>
    <row r="742">
      <c r="A742" s="237"/>
      <c r="B742" s="237"/>
      <c r="C742" s="237"/>
    </row>
    <row r="743">
      <c r="A743" s="237"/>
      <c r="B743" s="237"/>
      <c r="C743" s="237"/>
    </row>
    <row r="744">
      <c r="A744" s="237"/>
      <c r="B744" s="237"/>
      <c r="C744" s="237"/>
    </row>
    <row r="745">
      <c r="A745" s="237"/>
      <c r="B745" s="237"/>
      <c r="C745" s="237"/>
    </row>
    <row r="746">
      <c r="A746" s="237"/>
      <c r="B746" s="237"/>
      <c r="C746" s="237"/>
    </row>
    <row r="747">
      <c r="A747" s="237"/>
      <c r="B747" s="237"/>
      <c r="C747" s="237"/>
    </row>
    <row r="748">
      <c r="A748" s="237"/>
      <c r="B748" s="237"/>
      <c r="C748" s="237"/>
    </row>
    <row r="749">
      <c r="A749" s="237"/>
      <c r="B749" s="237"/>
      <c r="C749" s="237"/>
    </row>
    <row r="750">
      <c r="A750" s="237"/>
      <c r="B750" s="237"/>
      <c r="C750" s="237"/>
    </row>
    <row r="751">
      <c r="A751" s="237"/>
      <c r="B751" s="237"/>
      <c r="C751" s="237"/>
    </row>
    <row r="752">
      <c r="A752" s="237"/>
      <c r="B752" s="237"/>
      <c r="C752" s="237"/>
    </row>
    <row r="753">
      <c r="A753" s="237"/>
      <c r="B753" s="237"/>
      <c r="C753" s="237"/>
    </row>
    <row r="754">
      <c r="A754" s="237"/>
      <c r="B754" s="237"/>
      <c r="C754" s="237"/>
    </row>
    <row r="755">
      <c r="A755" s="237"/>
      <c r="B755" s="237"/>
      <c r="C755" s="237"/>
    </row>
    <row r="756">
      <c r="A756" s="237"/>
      <c r="B756" s="237"/>
      <c r="C756" s="237"/>
    </row>
    <row r="757">
      <c r="A757" s="237"/>
      <c r="B757" s="237"/>
      <c r="C757" s="237"/>
    </row>
    <row r="758">
      <c r="A758" s="237"/>
      <c r="B758" s="237"/>
      <c r="C758" s="237"/>
    </row>
    <row r="759">
      <c r="A759" s="237"/>
      <c r="B759" s="237"/>
      <c r="C759" s="237"/>
    </row>
    <row r="760">
      <c r="A760" s="237"/>
      <c r="B760" s="237"/>
      <c r="C760" s="237"/>
    </row>
    <row r="761">
      <c r="A761" s="237"/>
      <c r="B761" s="237"/>
      <c r="C761" s="237"/>
    </row>
    <row r="762">
      <c r="A762" s="237"/>
      <c r="B762" s="237"/>
      <c r="C762" s="237"/>
    </row>
    <row r="763">
      <c r="A763" s="237"/>
      <c r="B763" s="237"/>
      <c r="C763" s="237"/>
    </row>
    <row r="764">
      <c r="A764" s="237"/>
      <c r="B764" s="237"/>
      <c r="C764" s="237"/>
    </row>
    <row r="765">
      <c r="A765" s="237"/>
      <c r="B765" s="237"/>
      <c r="C765" s="237"/>
    </row>
    <row r="766">
      <c r="A766" s="237"/>
      <c r="B766" s="237"/>
      <c r="C766" s="237"/>
    </row>
    <row r="767">
      <c r="A767" s="237"/>
      <c r="B767" s="237"/>
      <c r="C767" s="237"/>
    </row>
    <row r="768">
      <c r="A768" s="237"/>
      <c r="B768" s="237"/>
      <c r="C768" s="237"/>
    </row>
    <row r="769">
      <c r="A769" s="237"/>
      <c r="B769" s="237"/>
      <c r="C769" s="237"/>
    </row>
    <row r="770">
      <c r="A770" s="237"/>
      <c r="B770" s="237"/>
      <c r="C770" s="237"/>
    </row>
    <row r="771">
      <c r="A771" s="237"/>
      <c r="B771" s="237"/>
      <c r="C771" s="237"/>
    </row>
    <row r="772">
      <c r="A772" s="237"/>
      <c r="B772" s="237"/>
      <c r="C772" s="237"/>
    </row>
    <row r="773">
      <c r="A773" s="237"/>
      <c r="B773" s="237"/>
      <c r="C773" s="237"/>
    </row>
    <row r="774">
      <c r="A774" s="237"/>
      <c r="B774" s="237"/>
      <c r="C774" s="237"/>
    </row>
    <row r="775">
      <c r="A775" s="237"/>
      <c r="B775" s="237"/>
      <c r="C775" s="237"/>
    </row>
    <row r="776">
      <c r="A776" s="237"/>
      <c r="B776" s="237"/>
      <c r="C776" s="237"/>
    </row>
    <row r="777">
      <c r="A777" s="237"/>
      <c r="B777" s="237"/>
      <c r="C777" s="237"/>
    </row>
    <row r="778">
      <c r="A778" s="237"/>
      <c r="B778" s="237"/>
      <c r="C778" s="237"/>
    </row>
    <row r="779">
      <c r="A779" s="237"/>
      <c r="B779" s="237"/>
      <c r="C779" s="237"/>
    </row>
    <row r="780">
      <c r="A780" s="237"/>
      <c r="B780" s="237"/>
      <c r="C780" s="237"/>
    </row>
    <row r="781">
      <c r="A781" s="237"/>
      <c r="B781" s="237"/>
      <c r="C781" s="237"/>
    </row>
    <row r="782">
      <c r="A782" s="237"/>
      <c r="B782" s="237"/>
      <c r="C782" s="237"/>
    </row>
    <row r="783">
      <c r="A783" s="237"/>
      <c r="B783" s="237"/>
      <c r="C783" s="237"/>
    </row>
    <row r="784">
      <c r="A784" s="237"/>
      <c r="B784" s="237"/>
      <c r="C784" s="237"/>
    </row>
    <row r="785">
      <c r="A785" s="237"/>
      <c r="B785" s="237"/>
      <c r="C785" s="237"/>
    </row>
    <row r="786">
      <c r="A786" s="237"/>
      <c r="B786" s="237"/>
      <c r="C786" s="237"/>
    </row>
    <row r="787">
      <c r="A787" s="237"/>
      <c r="B787" s="237"/>
      <c r="C787" s="237"/>
    </row>
    <row r="788">
      <c r="A788" s="237"/>
      <c r="B788" s="237"/>
      <c r="C788" s="237"/>
    </row>
    <row r="789">
      <c r="A789" s="237"/>
      <c r="B789" s="237"/>
      <c r="C789" s="237"/>
    </row>
    <row r="790">
      <c r="A790" s="237"/>
      <c r="B790" s="237"/>
      <c r="C790" s="237"/>
    </row>
    <row r="791">
      <c r="A791" s="237"/>
      <c r="B791" s="237"/>
      <c r="C791" s="237"/>
    </row>
    <row r="792">
      <c r="A792" s="237"/>
      <c r="B792" s="237"/>
      <c r="C792" s="237"/>
    </row>
    <row r="793">
      <c r="A793" s="237"/>
      <c r="B793" s="237"/>
      <c r="C793" s="237"/>
    </row>
    <row r="794">
      <c r="A794" s="237"/>
      <c r="B794" s="237"/>
      <c r="C794" s="237"/>
    </row>
    <row r="795">
      <c r="A795" s="237"/>
      <c r="B795" s="237"/>
      <c r="C795" s="237"/>
    </row>
    <row r="796">
      <c r="A796" s="237"/>
      <c r="B796" s="237"/>
      <c r="C796" s="237"/>
    </row>
    <row r="797">
      <c r="A797" s="237"/>
      <c r="B797" s="237"/>
      <c r="C797" s="237"/>
    </row>
    <row r="798">
      <c r="A798" s="237"/>
      <c r="B798" s="237"/>
      <c r="C798" s="237"/>
    </row>
    <row r="799">
      <c r="A799" s="237"/>
      <c r="B799" s="237"/>
      <c r="C799" s="237"/>
    </row>
    <row r="800">
      <c r="A800" s="237"/>
      <c r="B800" s="237"/>
      <c r="C800" s="237"/>
    </row>
    <row r="801">
      <c r="A801" s="237"/>
      <c r="B801" s="237"/>
      <c r="C801" s="237"/>
    </row>
    <row r="802">
      <c r="A802" s="237"/>
      <c r="B802" s="237"/>
      <c r="C802" s="237"/>
    </row>
    <row r="803">
      <c r="A803" s="237"/>
      <c r="B803" s="237"/>
      <c r="C803" s="237"/>
    </row>
    <row r="804">
      <c r="A804" s="237"/>
      <c r="B804" s="237"/>
      <c r="C804" s="237"/>
    </row>
    <row r="805">
      <c r="A805" s="237"/>
      <c r="B805" s="237"/>
      <c r="C805" s="237"/>
    </row>
    <row r="806">
      <c r="A806" s="237"/>
      <c r="B806" s="237"/>
      <c r="C806" s="237"/>
    </row>
    <row r="807">
      <c r="A807" s="237"/>
      <c r="B807" s="237"/>
      <c r="C807" s="237"/>
    </row>
    <row r="808">
      <c r="A808" s="237"/>
      <c r="B808" s="237"/>
      <c r="C808" s="237"/>
    </row>
    <row r="809">
      <c r="A809" s="237"/>
      <c r="B809" s="237"/>
      <c r="C809" s="237"/>
    </row>
    <row r="810">
      <c r="A810" s="237"/>
      <c r="B810" s="237"/>
      <c r="C810" s="237"/>
    </row>
    <row r="811">
      <c r="A811" s="237"/>
      <c r="B811" s="237"/>
      <c r="C811" s="237"/>
    </row>
    <row r="812">
      <c r="A812" s="237"/>
      <c r="B812" s="237"/>
      <c r="C812" s="237"/>
    </row>
    <row r="813">
      <c r="A813" s="237"/>
      <c r="B813" s="237"/>
      <c r="C813" s="237"/>
    </row>
    <row r="814">
      <c r="A814" s="237"/>
      <c r="B814" s="237"/>
      <c r="C814" s="237"/>
    </row>
    <row r="815">
      <c r="A815" s="237"/>
      <c r="B815" s="237"/>
      <c r="C815" s="237"/>
    </row>
    <row r="816">
      <c r="A816" s="237"/>
      <c r="B816" s="237"/>
      <c r="C816" s="237"/>
    </row>
    <row r="817">
      <c r="A817" s="237"/>
      <c r="B817" s="237"/>
      <c r="C817" s="237"/>
    </row>
    <row r="818">
      <c r="A818" s="237"/>
      <c r="B818" s="237"/>
      <c r="C818" s="237"/>
    </row>
    <row r="819">
      <c r="A819" s="237"/>
      <c r="B819" s="237"/>
      <c r="C819" s="237"/>
    </row>
    <row r="820">
      <c r="A820" s="237"/>
      <c r="B820" s="237"/>
      <c r="C820" s="237"/>
    </row>
    <row r="821">
      <c r="A821" s="237"/>
      <c r="B821" s="237"/>
      <c r="C821" s="237"/>
    </row>
    <row r="822">
      <c r="A822" s="237"/>
      <c r="B822" s="237"/>
      <c r="C822" s="237"/>
    </row>
    <row r="823">
      <c r="A823" s="237"/>
      <c r="B823" s="237"/>
      <c r="C823" s="237"/>
    </row>
    <row r="824">
      <c r="A824" s="237"/>
      <c r="B824" s="237"/>
      <c r="C824" s="237"/>
    </row>
    <row r="825">
      <c r="A825" s="237"/>
      <c r="B825" s="237"/>
      <c r="C825" s="237"/>
    </row>
    <row r="826">
      <c r="A826" s="237"/>
      <c r="B826" s="237"/>
      <c r="C826" s="237"/>
    </row>
    <row r="827">
      <c r="A827" s="237"/>
      <c r="B827" s="237"/>
      <c r="C827" s="237"/>
    </row>
    <row r="828">
      <c r="A828" s="237"/>
      <c r="B828" s="237"/>
      <c r="C828" s="237"/>
    </row>
    <row r="829">
      <c r="A829" s="237"/>
      <c r="B829" s="237"/>
      <c r="C829" s="237"/>
    </row>
    <row r="830">
      <c r="A830" s="237"/>
      <c r="B830" s="237"/>
      <c r="C830" s="237"/>
    </row>
    <row r="831">
      <c r="A831" s="237"/>
      <c r="B831" s="237"/>
      <c r="C831" s="237"/>
    </row>
    <row r="832">
      <c r="A832" s="237"/>
      <c r="B832" s="237"/>
      <c r="C832" s="237"/>
    </row>
    <row r="833">
      <c r="A833" s="237"/>
      <c r="B833" s="237"/>
      <c r="C833" s="237"/>
    </row>
    <row r="834">
      <c r="A834" s="237"/>
      <c r="B834" s="237"/>
      <c r="C834" s="237"/>
    </row>
    <row r="835">
      <c r="A835" s="237"/>
      <c r="B835" s="237"/>
      <c r="C835" s="237"/>
    </row>
    <row r="836">
      <c r="A836" s="237"/>
      <c r="B836" s="237"/>
      <c r="C836" s="237"/>
    </row>
    <row r="837">
      <c r="A837" s="237"/>
      <c r="B837" s="237"/>
      <c r="C837" s="237"/>
    </row>
    <row r="838">
      <c r="A838" s="237"/>
      <c r="B838" s="237"/>
      <c r="C838" s="237"/>
    </row>
    <row r="839">
      <c r="A839" s="237"/>
      <c r="B839" s="237"/>
      <c r="C839" s="237"/>
    </row>
    <row r="840">
      <c r="A840" s="237"/>
      <c r="B840" s="237"/>
      <c r="C840" s="237"/>
    </row>
    <row r="841">
      <c r="A841" s="237"/>
      <c r="B841" s="237"/>
      <c r="C841" s="237"/>
    </row>
    <row r="842">
      <c r="A842" s="237"/>
      <c r="B842" s="237"/>
      <c r="C842" s="237"/>
    </row>
    <row r="843">
      <c r="A843" s="237"/>
      <c r="B843" s="237"/>
      <c r="C843" s="237"/>
    </row>
    <row r="844">
      <c r="A844" s="237"/>
      <c r="B844" s="237"/>
      <c r="C844" s="237"/>
    </row>
    <row r="845">
      <c r="A845" s="237"/>
      <c r="B845" s="237"/>
      <c r="C845" s="237"/>
    </row>
    <row r="846">
      <c r="A846" s="237"/>
      <c r="B846" s="237"/>
      <c r="C846" s="237"/>
    </row>
    <row r="847">
      <c r="A847" s="237"/>
      <c r="B847" s="237"/>
      <c r="C847" s="237"/>
    </row>
    <row r="848">
      <c r="A848" s="237"/>
      <c r="B848" s="237"/>
      <c r="C848" s="237"/>
    </row>
    <row r="849">
      <c r="A849" s="237"/>
      <c r="B849" s="237"/>
      <c r="C849" s="237"/>
    </row>
    <row r="850">
      <c r="A850" s="237"/>
      <c r="B850" s="237"/>
      <c r="C850" s="237"/>
    </row>
    <row r="851">
      <c r="A851" s="237"/>
      <c r="B851" s="237"/>
      <c r="C851" s="237"/>
    </row>
    <row r="852">
      <c r="A852" s="237"/>
      <c r="B852" s="237"/>
      <c r="C852" s="237"/>
    </row>
    <row r="853">
      <c r="A853" s="237"/>
      <c r="B853" s="237"/>
      <c r="C853" s="237"/>
    </row>
    <row r="854">
      <c r="A854" s="237"/>
      <c r="B854" s="237"/>
      <c r="C854" s="237"/>
    </row>
    <row r="855">
      <c r="A855" s="237"/>
      <c r="B855" s="237"/>
      <c r="C855" s="237"/>
    </row>
    <row r="856">
      <c r="A856" s="237"/>
      <c r="B856" s="237"/>
      <c r="C856" s="237"/>
    </row>
    <row r="857">
      <c r="A857" s="237"/>
      <c r="B857" s="237"/>
      <c r="C857" s="237"/>
    </row>
    <row r="858">
      <c r="A858" s="237"/>
      <c r="B858" s="237"/>
      <c r="C858" s="237"/>
    </row>
    <row r="859">
      <c r="A859" s="237"/>
      <c r="B859" s="237"/>
      <c r="C859" s="237"/>
    </row>
    <row r="860">
      <c r="A860" s="237"/>
      <c r="B860" s="237"/>
      <c r="C860" s="237"/>
    </row>
    <row r="861">
      <c r="A861" s="237"/>
      <c r="B861" s="237"/>
      <c r="C861" s="237"/>
    </row>
    <row r="862">
      <c r="A862" s="237"/>
      <c r="B862" s="237"/>
      <c r="C862" s="237"/>
    </row>
    <row r="863">
      <c r="A863" s="237"/>
      <c r="B863" s="237"/>
      <c r="C863" s="237"/>
    </row>
    <row r="864">
      <c r="A864" s="237"/>
      <c r="B864" s="237"/>
      <c r="C864" s="237"/>
    </row>
    <row r="865">
      <c r="A865" s="237"/>
      <c r="B865" s="237"/>
      <c r="C865" s="237"/>
    </row>
    <row r="866">
      <c r="A866" s="237"/>
      <c r="B866" s="237"/>
      <c r="C866" s="237"/>
    </row>
    <row r="867">
      <c r="A867" s="237"/>
      <c r="B867" s="237"/>
      <c r="C867" s="237"/>
    </row>
    <row r="868">
      <c r="A868" s="237"/>
      <c r="B868" s="237"/>
      <c r="C868" s="237"/>
    </row>
    <row r="869">
      <c r="A869" s="237"/>
      <c r="B869" s="237"/>
      <c r="C869" s="237"/>
    </row>
    <row r="870">
      <c r="A870" s="237"/>
      <c r="B870" s="237"/>
      <c r="C870" s="237"/>
    </row>
    <row r="871">
      <c r="A871" s="237"/>
      <c r="B871" s="237"/>
      <c r="C871" s="237"/>
    </row>
    <row r="872">
      <c r="A872" s="237"/>
      <c r="B872" s="237"/>
      <c r="C872" s="237"/>
    </row>
    <row r="873">
      <c r="A873" s="237"/>
      <c r="B873" s="237"/>
      <c r="C873" s="237"/>
    </row>
    <row r="874">
      <c r="A874" s="237"/>
      <c r="B874" s="237"/>
      <c r="C874" s="237"/>
    </row>
    <row r="875">
      <c r="A875" s="237"/>
      <c r="B875" s="237"/>
      <c r="C875" s="237"/>
    </row>
    <row r="876">
      <c r="A876" s="237"/>
      <c r="B876" s="237"/>
      <c r="C876" s="237"/>
    </row>
    <row r="877">
      <c r="A877" s="237"/>
      <c r="B877" s="237"/>
      <c r="C877" s="237"/>
    </row>
    <row r="878">
      <c r="A878" s="237"/>
      <c r="B878" s="237"/>
      <c r="C878" s="237"/>
    </row>
    <row r="879">
      <c r="A879" s="237"/>
      <c r="B879" s="237"/>
      <c r="C879" s="237"/>
    </row>
    <row r="880">
      <c r="A880" s="237"/>
      <c r="B880" s="237"/>
      <c r="C880" s="237"/>
    </row>
    <row r="881">
      <c r="A881" s="237"/>
      <c r="B881" s="237"/>
      <c r="C881" s="237"/>
    </row>
    <row r="882">
      <c r="A882" s="237"/>
      <c r="B882" s="237"/>
      <c r="C882" s="237"/>
    </row>
    <row r="883">
      <c r="A883" s="237"/>
      <c r="B883" s="237"/>
      <c r="C883" s="237"/>
    </row>
    <row r="884">
      <c r="A884" s="237"/>
      <c r="B884" s="237"/>
      <c r="C884" s="237"/>
    </row>
    <row r="885">
      <c r="A885" s="237"/>
      <c r="B885" s="237"/>
      <c r="C885" s="237"/>
    </row>
    <row r="886">
      <c r="A886" s="237"/>
      <c r="B886" s="237"/>
      <c r="C886" s="237"/>
    </row>
    <row r="887">
      <c r="A887" s="237"/>
      <c r="B887" s="237"/>
      <c r="C887" s="237"/>
    </row>
    <row r="888">
      <c r="A888" s="237"/>
      <c r="B888" s="237"/>
      <c r="C888" s="237"/>
    </row>
    <row r="889">
      <c r="A889" s="237"/>
      <c r="B889" s="237"/>
      <c r="C889" s="237"/>
    </row>
    <row r="890">
      <c r="A890" s="237"/>
      <c r="B890" s="237"/>
      <c r="C890" s="237"/>
    </row>
    <row r="891">
      <c r="A891" s="237"/>
      <c r="B891" s="237"/>
      <c r="C891" s="237"/>
    </row>
    <row r="892">
      <c r="A892" s="237"/>
      <c r="B892" s="237"/>
      <c r="C892" s="237"/>
    </row>
    <row r="893">
      <c r="A893" s="237"/>
      <c r="B893" s="237"/>
      <c r="C893" s="237"/>
    </row>
    <row r="894">
      <c r="A894" s="237"/>
      <c r="B894" s="237"/>
      <c r="C894" s="237"/>
    </row>
    <row r="895">
      <c r="A895" s="237"/>
      <c r="B895" s="237"/>
      <c r="C895" s="237"/>
    </row>
    <row r="896">
      <c r="A896" s="237"/>
      <c r="B896" s="237"/>
      <c r="C896" s="237"/>
    </row>
    <row r="897">
      <c r="A897" s="237"/>
      <c r="B897" s="237"/>
      <c r="C897" s="237"/>
    </row>
    <row r="898">
      <c r="A898" s="237"/>
      <c r="B898" s="237"/>
      <c r="C898" s="237"/>
    </row>
    <row r="899">
      <c r="A899" s="237"/>
      <c r="B899" s="237"/>
      <c r="C899" s="237"/>
    </row>
    <row r="900">
      <c r="A900" s="237"/>
      <c r="B900" s="237"/>
      <c r="C900" s="237"/>
    </row>
    <row r="901">
      <c r="A901" s="237"/>
      <c r="B901" s="237"/>
      <c r="C901" s="237"/>
    </row>
    <row r="902">
      <c r="A902" s="237"/>
      <c r="B902" s="237"/>
      <c r="C902" s="237"/>
    </row>
    <row r="903">
      <c r="A903" s="237"/>
      <c r="B903" s="237"/>
      <c r="C903" s="237"/>
    </row>
    <row r="904">
      <c r="A904" s="237"/>
      <c r="B904" s="237"/>
      <c r="C904" s="237"/>
    </row>
    <row r="905">
      <c r="A905" s="237"/>
      <c r="B905" s="237"/>
      <c r="C905" s="237"/>
    </row>
    <row r="906">
      <c r="A906" s="237"/>
      <c r="B906" s="237"/>
      <c r="C906" s="237"/>
    </row>
    <row r="907">
      <c r="A907" s="237"/>
      <c r="B907" s="237"/>
      <c r="C907" s="237"/>
    </row>
    <row r="908">
      <c r="A908" s="237"/>
      <c r="B908" s="237"/>
      <c r="C908" s="237"/>
    </row>
    <row r="909">
      <c r="A909" s="237"/>
      <c r="B909" s="237"/>
      <c r="C909" s="237"/>
    </row>
    <row r="910">
      <c r="A910" s="237"/>
      <c r="B910" s="237"/>
      <c r="C910" s="237"/>
    </row>
    <row r="911">
      <c r="A911" s="237"/>
      <c r="B911" s="237"/>
      <c r="C911" s="237"/>
    </row>
    <row r="912">
      <c r="A912" s="237"/>
      <c r="B912" s="237"/>
      <c r="C912" s="237"/>
    </row>
    <row r="913">
      <c r="A913" s="237"/>
      <c r="B913" s="237"/>
      <c r="C913" s="237"/>
    </row>
    <row r="914">
      <c r="A914" s="237"/>
      <c r="B914" s="237"/>
      <c r="C914" s="237"/>
    </row>
    <row r="915">
      <c r="A915" s="237"/>
      <c r="B915" s="237"/>
      <c r="C915" s="237"/>
    </row>
    <row r="916">
      <c r="A916" s="237"/>
      <c r="B916" s="237"/>
      <c r="C916" s="237"/>
    </row>
    <row r="917">
      <c r="A917" s="237"/>
      <c r="B917" s="237"/>
      <c r="C917" s="237"/>
    </row>
    <row r="918">
      <c r="A918" s="237"/>
      <c r="B918" s="237"/>
      <c r="C918" s="237"/>
    </row>
    <row r="919">
      <c r="A919" s="237"/>
      <c r="B919" s="237"/>
      <c r="C919" s="237"/>
    </row>
    <row r="920">
      <c r="A920" s="237"/>
      <c r="B920" s="237"/>
      <c r="C920" s="237"/>
    </row>
    <row r="921">
      <c r="A921" s="237"/>
      <c r="B921" s="237"/>
      <c r="C921" s="237"/>
    </row>
    <row r="922">
      <c r="A922" s="237"/>
      <c r="B922" s="237"/>
      <c r="C922" s="237"/>
    </row>
    <row r="923">
      <c r="A923" s="237"/>
      <c r="B923" s="237"/>
      <c r="C923" s="237"/>
    </row>
    <row r="924">
      <c r="A924" s="237"/>
      <c r="B924" s="237"/>
      <c r="C924" s="237"/>
    </row>
    <row r="925">
      <c r="A925" s="237"/>
      <c r="B925" s="237"/>
      <c r="C925" s="237"/>
    </row>
    <row r="926">
      <c r="A926" s="237"/>
      <c r="B926" s="237"/>
      <c r="C926" s="237"/>
    </row>
    <row r="927">
      <c r="A927" s="237"/>
      <c r="B927" s="237"/>
      <c r="C927" s="237"/>
    </row>
    <row r="928">
      <c r="A928" s="237"/>
      <c r="B928" s="237"/>
      <c r="C928" s="237"/>
    </row>
    <row r="929">
      <c r="A929" s="237"/>
      <c r="B929" s="237"/>
      <c r="C929" s="237"/>
    </row>
    <row r="930">
      <c r="A930" s="237"/>
      <c r="B930" s="237"/>
      <c r="C930" s="237"/>
    </row>
    <row r="931">
      <c r="A931" s="237"/>
      <c r="B931" s="237"/>
      <c r="C931" s="237"/>
    </row>
    <row r="932">
      <c r="A932" s="237"/>
      <c r="B932" s="237"/>
      <c r="C932" s="237"/>
    </row>
    <row r="933">
      <c r="A933" s="237"/>
      <c r="B933" s="237"/>
      <c r="C933" s="237"/>
    </row>
    <row r="934">
      <c r="A934" s="237"/>
      <c r="B934" s="237"/>
      <c r="C934" s="237"/>
    </row>
    <row r="935">
      <c r="A935" s="237"/>
      <c r="B935" s="237"/>
      <c r="C935" s="237"/>
    </row>
    <row r="936">
      <c r="A936" s="237"/>
      <c r="B936" s="237"/>
      <c r="C936" s="237"/>
    </row>
    <row r="937">
      <c r="A937" s="237"/>
      <c r="B937" s="237"/>
      <c r="C937" s="237"/>
    </row>
    <row r="938">
      <c r="A938" s="237"/>
      <c r="B938" s="237"/>
      <c r="C938" s="237"/>
    </row>
    <row r="939">
      <c r="A939" s="237"/>
      <c r="B939" s="237"/>
      <c r="C939" s="237"/>
    </row>
    <row r="940">
      <c r="A940" s="237"/>
      <c r="B940" s="237"/>
      <c r="C940" s="237"/>
    </row>
    <row r="941">
      <c r="A941" s="237"/>
      <c r="B941" s="237"/>
      <c r="C941" s="237"/>
    </row>
    <row r="942">
      <c r="A942" s="237"/>
      <c r="B942" s="237"/>
      <c r="C942" s="237"/>
    </row>
    <row r="943">
      <c r="A943" s="237"/>
      <c r="B943" s="237"/>
      <c r="C943" s="237"/>
    </row>
    <row r="944">
      <c r="A944" s="237"/>
      <c r="B944" s="237"/>
      <c r="C944" s="237"/>
    </row>
    <row r="945">
      <c r="A945" s="237"/>
      <c r="B945" s="237"/>
      <c r="C945" s="237"/>
    </row>
    <row r="946">
      <c r="A946" s="237"/>
      <c r="B946" s="237"/>
      <c r="C946" s="237"/>
    </row>
    <row r="947">
      <c r="A947" s="237"/>
      <c r="B947" s="237"/>
      <c r="C947" s="237"/>
    </row>
    <row r="948">
      <c r="A948" s="237"/>
      <c r="B948" s="237"/>
      <c r="C948" s="237"/>
    </row>
    <row r="949">
      <c r="A949" s="237"/>
      <c r="B949" s="237"/>
      <c r="C949" s="237"/>
    </row>
    <row r="950">
      <c r="A950" s="237"/>
      <c r="B950" s="237"/>
      <c r="C950" s="237"/>
    </row>
    <row r="951">
      <c r="A951" s="237"/>
      <c r="B951" s="237"/>
      <c r="C951" s="237"/>
    </row>
    <row r="952">
      <c r="A952" s="237"/>
      <c r="B952" s="237"/>
      <c r="C952" s="237"/>
    </row>
    <row r="953">
      <c r="A953" s="237"/>
      <c r="B953" s="237"/>
      <c r="C953" s="237"/>
    </row>
    <row r="954">
      <c r="A954" s="237"/>
      <c r="B954" s="237"/>
      <c r="C954" s="237"/>
    </row>
    <row r="955">
      <c r="A955" s="237"/>
      <c r="B955" s="237"/>
      <c r="C955" s="237"/>
    </row>
    <row r="956">
      <c r="A956" s="237"/>
      <c r="B956" s="237"/>
      <c r="C956" s="237"/>
    </row>
    <row r="957">
      <c r="A957" s="237"/>
      <c r="B957" s="237"/>
      <c r="C957" s="237"/>
    </row>
    <row r="958">
      <c r="A958" s="237"/>
      <c r="B958" s="237"/>
      <c r="C958" s="237"/>
    </row>
    <row r="959">
      <c r="A959" s="237"/>
      <c r="B959" s="237"/>
      <c r="C959" s="237"/>
    </row>
    <row r="960">
      <c r="A960" s="237"/>
      <c r="B960" s="237"/>
      <c r="C960" s="237"/>
    </row>
    <row r="961">
      <c r="A961" s="237"/>
      <c r="B961" s="237"/>
      <c r="C961" s="237"/>
    </row>
    <row r="962">
      <c r="A962" s="237"/>
      <c r="B962" s="237"/>
      <c r="C962" s="237"/>
    </row>
    <row r="963">
      <c r="A963" s="237"/>
      <c r="B963" s="237"/>
      <c r="C963" s="237"/>
    </row>
    <row r="964">
      <c r="A964" s="237"/>
      <c r="B964" s="237"/>
      <c r="C964" s="237"/>
    </row>
    <row r="965">
      <c r="A965" s="237"/>
      <c r="B965" s="237"/>
      <c r="C965" s="237"/>
    </row>
    <row r="966">
      <c r="A966" s="237"/>
      <c r="B966" s="237"/>
      <c r="C966" s="237"/>
    </row>
    <row r="967">
      <c r="A967" s="237"/>
      <c r="B967" s="237"/>
      <c r="C967" s="237"/>
    </row>
    <row r="968">
      <c r="A968" s="237"/>
      <c r="B968" s="237"/>
      <c r="C968" s="237"/>
    </row>
    <row r="969">
      <c r="A969" s="237"/>
      <c r="B969" s="237"/>
      <c r="C969" s="237"/>
    </row>
    <row r="970">
      <c r="A970" s="237"/>
      <c r="B970" s="237"/>
      <c r="C970" s="237"/>
    </row>
    <row r="971">
      <c r="A971" s="237"/>
      <c r="B971" s="237"/>
      <c r="C971" s="237"/>
    </row>
    <row r="972">
      <c r="A972" s="237"/>
      <c r="B972" s="237"/>
      <c r="C972" s="237"/>
    </row>
    <row r="973">
      <c r="A973" s="237"/>
      <c r="B973" s="237"/>
      <c r="C973" s="237"/>
    </row>
    <row r="974">
      <c r="A974" s="237"/>
      <c r="B974" s="237"/>
      <c r="C974" s="237"/>
    </row>
    <row r="975">
      <c r="A975" s="237"/>
      <c r="B975" s="237"/>
      <c r="C975" s="237"/>
    </row>
    <row r="976">
      <c r="A976" s="237"/>
      <c r="B976" s="237"/>
      <c r="C976" s="237"/>
    </row>
    <row r="977">
      <c r="A977" s="237"/>
      <c r="B977" s="237"/>
      <c r="C977" s="237"/>
    </row>
    <row r="978">
      <c r="A978" s="237"/>
      <c r="B978" s="237"/>
      <c r="C978" s="237"/>
    </row>
    <row r="979">
      <c r="A979" s="237"/>
      <c r="B979" s="237"/>
      <c r="C979" s="237"/>
    </row>
    <row r="980">
      <c r="A980" s="237"/>
      <c r="B980" s="237"/>
      <c r="C980" s="237"/>
    </row>
    <row r="981">
      <c r="A981" s="237"/>
      <c r="B981" s="237"/>
      <c r="C981" s="237"/>
    </row>
    <row r="982">
      <c r="A982" s="237"/>
      <c r="B982" s="237"/>
      <c r="C982" s="237"/>
    </row>
    <row r="983">
      <c r="A983" s="237"/>
      <c r="B983" s="237"/>
      <c r="C983" s="237"/>
    </row>
    <row r="984">
      <c r="A984" s="237"/>
      <c r="B984" s="237"/>
      <c r="C984" s="237"/>
    </row>
    <row r="985">
      <c r="A985" s="237"/>
      <c r="B985" s="237"/>
      <c r="C985" s="237"/>
    </row>
    <row r="986">
      <c r="A986" s="237"/>
      <c r="B986" s="237"/>
      <c r="C986" s="237"/>
    </row>
    <row r="987">
      <c r="A987" s="237"/>
      <c r="B987" s="237"/>
      <c r="C987" s="237"/>
    </row>
    <row r="988">
      <c r="A988" s="237"/>
      <c r="B988" s="237"/>
      <c r="C988" s="237"/>
    </row>
    <row r="989">
      <c r="A989" s="237"/>
      <c r="B989" s="237"/>
      <c r="C989" s="237"/>
    </row>
    <row r="990">
      <c r="A990" s="237"/>
      <c r="B990" s="237"/>
      <c r="C990" s="237"/>
    </row>
    <row r="991">
      <c r="A991" s="237"/>
      <c r="B991" s="237"/>
      <c r="C991" s="237"/>
    </row>
    <row r="992">
      <c r="A992" s="237"/>
      <c r="B992" s="237"/>
      <c r="C992" s="237"/>
    </row>
    <row r="993">
      <c r="A993" s="237"/>
      <c r="B993" s="237"/>
      <c r="C993" s="237"/>
    </row>
    <row r="994">
      <c r="A994" s="237"/>
      <c r="B994" s="237"/>
      <c r="C994" s="237"/>
    </row>
    <row r="995">
      <c r="A995" s="237"/>
      <c r="B995" s="237"/>
      <c r="C995" s="237"/>
    </row>
    <row r="996">
      <c r="A996" s="237"/>
      <c r="B996" s="237"/>
      <c r="C996" s="237"/>
    </row>
    <row r="997">
      <c r="A997" s="237"/>
      <c r="B997" s="237"/>
      <c r="C997" s="237"/>
    </row>
    <row r="998">
      <c r="A998" s="237"/>
      <c r="B998" s="237"/>
      <c r="C998" s="237"/>
    </row>
    <row r="999">
      <c r="A999" s="237"/>
      <c r="B999" s="237"/>
      <c r="C999" s="237"/>
    </row>
    <row r="1000">
      <c r="A1000" s="237"/>
      <c r="B1000" s="237"/>
      <c r="C1000" s="237"/>
    </row>
  </sheetData>
  <mergeCells count="4">
    <mergeCell ref="A18:B18"/>
    <mergeCell ref="A19:B19"/>
    <mergeCell ref="A20:B20"/>
    <mergeCell ref="A21:B21"/>
  </mergeCell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Col="1"/>
  <cols>
    <col customWidth="1" min="1" max="1" width="22.44"/>
    <col customWidth="1" min="2" max="26" width="10.44"/>
  </cols>
  <sheetData>
    <row r="1">
      <c r="A1" s="98" t="s">
        <v>1137</v>
      </c>
    </row>
    <row r="2">
      <c r="A2" s="98" t="s">
        <v>1138</v>
      </c>
      <c r="B2" s="98" t="s">
        <v>1139</v>
      </c>
    </row>
    <row r="3">
      <c r="B3" s="98" t="s">
        <v>1140</v>
      </c>
    </row>
    <row r="4">
      <c r="B4" s="98" t="s">
        <v>1141</v>
      </c>
    </row>
    <row r="5">
      <c r="B5" s="98" t="s">
        <v>1142</v>
      </c>
    </row>
    <row r="6">
      <c r="B6" s="98" t="s">
        <v>1143</v>
      </c>
    </row>
    <row r="8">
      <c r="A8" s="98" t="s">
        <v>1144</v>
      </c>
      <c r="B8" s="98" t="s">
        <v>1145</v>
      </c>
    </row>
    <row r="9">
      <c r="B9" s="98" t="s">
        <v>1146</v>
      </c>
    </row>
    <row r="10">
      <c r="B10" s="98" t="s">
        <v>1148</v>
      </c>
    </row>
    <row r="11">
      <c r="B11" s="98" t="s">
        <v>1149</v>
      </c>
    </row>
    <row r="13">
      <c r="A13" s="98" t="s">
        <v>1150</v>
      </c>
      <c r="B13" s="98" t="s">
        <v>1151</v>
      </c>
    </row>
    <row r="14">
      <c r="B14" s="98" t="s">
        <v>1152</v>
      </c>
    </row>
    <row r="16">
      <c r="A16" s="98" t="s">
        <v>1153</v>
      </c>
      <c r="B16" s="98" t="s">
        <v>1154</v>
      </c>
    </row>
    <row r="17">
      <c r="A17" s="98" t="s">
        <v>1155</v>
      </c>
      <c r="B17" s="98" t="s">
        <v>1154</v>
      </c>
    </row>
    <row r="18">
      <c r="A18" s="98" t="s">
        <v>1156</v>
      </c>
      <c r="B18" s="98" t="s">
        <v>1157</v>
      </c>
    </row>
    <row r="19">
      <c r="B19" s="98" t="s">
        <v>1158</v>
      </c>
    </row>
    <row r="20">
      <c r="A20" s="98" t="s">
        <v>1159</v>
      </c>
      <c r="B20" s="98" t="s">
        <v>1160</v>
      </c>
    </row>
    <row r="21">
      <c r="B21" s="98" t="s">
        <v>1161</v>
      </c>
    </row>
    <row r="22">
      <c r="B22" s="98" t="s">
        <v>1162</v>
      </c>
    </row>
    <row r="23">
      <c r="A23" s="98" t="s">
        <v>1163</v>
      </c>
      <c r="B23" s="98" t="s">
        <v>1164</v>
      </c>
    </row>
    <row r="24">
      <c r="B24" s="98" t="s">
        <v>1166</v>
      </c>
    </row>
    <row r="25">
      <c r="B25" s="98" t="s">
        <v>1167</v>
      </c>
    </row>
    <row r="26">
      <c r="B26" s="98" t="s">
        <v>1168</v>
      </c>
    </row>
    <row r="27">
      <c r="B27" s="98" t="s">
        <v>1169</v>
      </c>
    </row>
    <row r="28">
      <c r="A28" s="98" t="s">
        <v>1170</v>
      </c>
      <c r="B28" s="98" t="s">
        <v>1171</v>
      </c>
    </row>
    <row r="29">
      <c r="B29" s="98" t="s">
        <v>1172</v>
      </c>
    </row>
    <row r="30">
      <c r="B30" s="98" t="s">
        <v>1173</v>
      </c>
    </row>
    <row r="31">
      <c r="B31" s="98" t="s">
        <v>1175</v>
      </c>
    </row>
    <row r="32">
      <c r="B32" s="98" t="s">
        <v>1177</v>
      </c>
    </row>
    <row r="33">
      <c r="B33" s="98" t="s">
        <v>1178</v>
      </c>
    </row>
    <row r="34">
      <c r="B34" s="98" t="s">
        <v>1179</v>
      </c>
    </row>
    <row r="35">
      <c r="B35" s="98" t="s">
        <v>1181</v>
      </c>
    </row>
    <row r="36">
      <c r="B36" s="98" t="s">
        <v>1182</v>
      </c>
    </row>
    <row r="37">
      <c r="A37" s="98" t="s">
        <v>1183</v>
      </c>
      <c r="B37" s="98" t="s">
        <v>1184</v>
      </c>
    </row>
    <row r="38">
      <c r="B38" s="98" t="s">
        <v>1185</v>
      </c>
    </row>
    <row r="39">
      <c r="B39" s="98" t="s">
        <v>1186</v>
      </c>
    </row>
    <row r="40">
      <c r="A40" s="98" t="s">
        <v>1188</v>
      </c>
      <c r="B40" s="98" t="s">
        <v>1189</v>
      </c>
    </row>
    <row r="41">
      <c r="B41" s="98" t="s">
        <v>1190</v>
      </c>
    </row>
    <row r="42">
      <c r="A42" s="98" t="s">
        <v>1191</v>
      </c>
      <c r="B42" s="98" t="s">
        <v>1192</v>
      </c>
    </row>
    <row r="43">
      <c r="B43" s="98" t="s">
        <v>1193</v>
      </c>
    </row>
    <row r="44">
      <c r="B44" s="98" t="s">
        <v>1194</v>
      </c>
    </row>
    <row r="47">
      <c r="A47" s="98" t="s">
        <v>1195</v>
      </c>
      <c r="D47" s="98" t="s">
        <v>1196</v>
      </c>
    </row>
    <row r="48">
      <c r="A48" s="98" t="s">
        <v>1197</v>
      </c>
      <c r="D48" s="98" t="s">
        <v>1199</v>
      </c>
    </row>
    <row r="49">
      <c r="A49" s="98" t="s">
        <v>1200</v>
      </c>
      <c r="D49" s="98" t="s">
        <v>1201</v>
      </c>
    </row>
    <row r="50">
      <c r="A50" s="98" t="s">
        <v>1202</v>
      </c>
      <c r="D50" s="98" t="s">
        <v>1203</v>
      </c>
    </row>
    <row r="51">
      <c r="A51" s="98" t="s">
        <v>1204</v>
      </c>
      <c r="D51" s="98" t="s">
        <v>1199</v>
      </c>
    </row>
    <row r="52">
      <c r="A52" s="98" t="s">
        <v>383</v>
      </c>
      <c r="D52" s="98" t="s">
        <v>1199</v>
      </c>
    </row>
    <row r="53">
      <c r="A53" s="98" t="s">
        <v>1205</v>
      </c>
      <c r="D53" s="98" t="s">
        <v>1199</v>
      </c>
    </row>
    <row r="54">
      <c r="A54" s="98" t="s">
        <v>1206</v>
      </c>
      <c r="D54" s="98" t="s">
        <v>1199</v>
      </c>
      <c r="E54" s="98" t="s">
        <v>1207</v>
      </c>
    </row>
    <row r="55">
      <c r="A55" s="98" t="s">
        <v>1208</v>
      </c>
      <c r="D55" s="98" t="s">
        <v>1199</v>
      </c>
      <c r="E55" s="98" t="s">
        <v>1209</v>
      </c>
    </row>
    <row r="56">
      <c r="A56" s="98" t="s">
        <v>1210</v>
      </c>
      <c r="D56" s="98" t="s">
        <v>1201</v>
      </c>
      <c r="E56" s="98" t="s">
        <v>1211</v>
      </c>
    </row>
    <row r="57">
      <c r="A57" s="98" t="s">
        <v>1212</v>
      </c>
      <c r="D57" s="98" t="s">
        <v>1201</v>
      </c>
      <c r="E57" s="98" t="s">
        <v>1211</v>
      </c>
    </row>
    <row r="58">
      <c r="A58" s="98" t="s">
        <v>1213</v>
      </c>
      <c r="D58" s="98" t="s">
        <v>1201</v>
      </c>
      <c r="E58" s="98" t="s">
        <v>1211</v>
      </c>
    </row>
    <row r="59">
      <c r="A59" s="98" t="s">
        <v>1214</v>
      </c>
      <c r="D59" s="98" t="s">
        <v>1199</v>
      </c>
    </row>
    <row r="65">
      <c r="A65" s="26" t="s">
        <v>1216</v>
      </c>
    </row>
    <row r="66">
      <c r="A66" s="98" t="s">
        <v>1217</v>
      </c>
      <c r="B66" s="26" t="s">
        <v>1218</v>
      </c>
      <c r="C66" s="26" t="s">
        <v>1219</v>
      </c>
      <c r="D66" s="26" t="s">
        <v>1220</v>
      </c>
    </row>
    <row r="67">
      <c r="A67" s="98">
        <v>13.0</v>
      </c>
      <c r="B67" s="98" t="s">
        <v>1221</v>
      </c>
      <c r="C67" s="98">
        <v>18.0</v>
      </c>
      <c r="D67" s="98" t="s">
        <v>1222</v>
      </c>
    </row>
    <row r="68">
      <c r="A68" s="98">
        <v>13.0</v>
      </c>
      <c r="B68" s="98" t="s">
        <v>1221</v>
      </c>
      <c r="C68" s="98">
        <v>37.0</v>
      </c>
      <c r="D68" s="98" t="s">
        <v>1223</v>
      </c>
    </row>
    <row r="69">
      <c r="A69" s="98">
        <v>13.0</v>
      </c>
      <c r="B69" s="98" t="s">
        <v>1221</v>
      </c>
      <c r="C69" s="98">
        <v>43.0</v>
      </c>
      <c r="D69" s="98" t="s">
        <v>1223</v>
      </c>
    </row>
    <row r="70">
      <c r="A70" s="98">
        <v>13.0</v>
      </c>
      <c r="B70" s="98" t="s">
        <v>1225</v>
      </c>
      <c r="C70" s="98">
        <v>58.0</v>
      </c>
      <c r="D70" s="98" t="s">
        <v>1227</v>
      </c>
    </row>
    <row r="71">
      <c r="A71" s="98">
        <v>14.0</v>
      </c>
      <c r="B71" s="98" t="s">
        <v>1228</v>
      </c>
      <c r="C71" s="98">
        <v>56.0</v>
      </c>
      <c r="D71" s="98" t="s">
        <v>1229</v>
      </c>
    </row>
    <row r="72">
      <c r="A72" s="98">
        <v>14.0</v>
      </c>
      <c r="B72" s="98" t="s">
        <v>1230</v>
      </c>
      <c r="D72" s="98" t="s">
        <v>1231</v>
      </c>
    </row>
    <row r="73">
      <c r="A73" s="98">
        <v>14.0</v>
      </c>
      <c r="B73" s="98" t="s">
        <v>1232</v>
      </c>
      <c r="D73" s="98" t="s">
        <v>1233</v>
      </c>
    </row>
    <row r="74">
      <c r="A74" s="98">
        <v>15.0</v>
      </c>
      <c r="B74" s="98" t="s">
        <v>1234</v>
      </c>
    </row>
    <row r="75">
      <c r="B75" s="98" t="s">
        <v>1235</v>
      </c>
      <c r="C75" s="98" t="s">
        <v>1236</v>
      </c>
      <c r="D75" s="98" t="s">
        <v>1237</v>
      </c>
    </row>
    <row r="76">
      <c r="A76" s="98" t="s">
        <v>1238</v>
      </c>
      <c r="B76" s="98" t="s">
        <v>322</v>
      </c>
      <c r="C76" s="98" t="s">
        <v>1239</v>
      </c>
      <c r="D76" s="98" t="s">
        <v>1240</v>
      </c>
    </row>
    <row r="77">
      <c r="B77" s="98" t="s">
        <v>322</v>
      </c>
      <c r="D77" s="98" t="s">
        <v>1241</v>
      </c>
    </row>
    <row r="78">
      <c r="B78" s="98" t="s">
        <v>99</v>
      </c>
      <c r="D78" s="98" t="s">
        <v>1243</v>
      </c>
    </row>
    <row r="79">
      <c r="A79" s="98" t="s">
        <v>1238</v>
      </c>
      <c r="B79" s="98" t="s">
        <v>322</v>
      </c>
      <c r="D79" s="98" t="s">
        <v>1244</v>
      </c>
    </row>
    <row r="80">
      <c r="B80" s="98" t="s">
        <v>16</v>
      </c>
      <c r="D80" s="98" t="s">
        <v>1245</v>
      </c>
    </row>
    <row r="81">
      <c r="A81" s="98" t="s">
        <v>1238</v>
      </c>
      <c r="B81" s="98" t="s">
        <v>322</v>
      </c>
      <c r="D81" s="98" t="s">
        <v>1246</v>
      </c>
    </row>
    <row r="82">
      <c r="A82" s="98" t="s">
        <v>1247</v>
      </c>
      <c r="B82" s="98" t="s">
        <v>865</v>
      </c>
      <c r="D82" s="98" t="s">
        <v>1248</v>
      </c>
    </row>
    <row r="83">
      <c r="B83" s="98" t="s">
        <v>322</v>
      </c>
      <c r="D83" s="98" t="s">
        <v>1249</v>
      </c>
    </row>
    <row r="84">
      <c r="B84" s="98" t="s">
        <v>322</v>
      </c>
      <c r="D84" s="98" t="s">
        <v>1250</v>
      </c>
    </row>
    <row r="85">
      <c r="B85" s="98" t="s">
        <v>1251</v>
      </c>
      <c r="D85" s="98" t="s">
        <v>1252</v>
      </c>
    </row>
    <row r="86">
      <c r="B86" s="98" t="s">
        <v>1253</v>
      </c>
      <c r="D86" s="98" t="s">
        <v>1254</v>
      </c>
    </row>
    <row r="87">
      <c r="B87" s="98" t="s">
        <v>16</v>
      </c>
      <c r="D87" s="98" t="s">
        <v>1255</v>
      </c>
    </row>
    <row r="88">
      <c r="A88" s="98" t="s">
        <v>1256</v>
      </c>
      <c r="B88" s="98" t="s">
        <v>1257</v>
      </c>
      <c r="D88" s="98" t="s">
        <v>1243</v>
      </c>
    </row>
    <row r="89">
      <c r="A89" s="98" t="s">
        <v>1258</v>
      </c>
      <c r="B89" s="98" t="s">
        <v>16</v>
      </c>
      <c r="D89" s="98" t="s">
        <v>1259</v>
      </c>
    </row>
    <row r="90">
      <c r="B90" s="98" t="s">
        <v>1257</v>
      </c>
      <c r="D90" s="98" t="s">
        <v>1260</v>
      </c>
    </row>
    <row r="91">
      <c r="A91" s="98" t="s">
        <v>1170</v>
      </c>
      <c r="B91" s="98" t="s">
        <v>1261</v>
      </c>
      <c r="D91" s="98" t="s">
        <v>1262</v>
      </c>
    </row>
    <row r="92">
      <c r="B92" s="98" t="s">
        <v>19</v>
      </c>
      <c r="D92" s="98" t="s">
        <v>1263</v>
      </c>
    </row>
    <row r="93">
      <c r="B93" s="98" t="s">
        <v>1265</v>
      </c>
      <c r="D93" s="98" t="s">
        <v>1266</v>
      </c>
    </row>
    <row r="94">
      <c r="A94" s="98" t="s">
        <v>1267</v>
      </c>
      <c r="B94" s="98" t="s">
        <v>16</v>
      </c>
      <c r="D94" s="98" t="s">
        <v>1268</v>
      </c>
    </row>
    <row r="95">
      <c r="A95" s="98" t="s">
        <v>1269</v>
      </c>
      <c r="B95" s="98" t="s">
        <v>1271</v>
      </c>
      <c r="D95" s="98" t="s">
        <v>1272</v>
      </c>
    </row>
    <row r="96">
      <c r="A96" s="98" t="s">
        <v>1273</v>
      </c>
      <c r="B96" s="98" t="s">
        <v>1274</v>
      </c>
      <c r="D96" s="98" t="s">
        <v>1275</v>
      </c>
    </row>
    <row r="97">
      <c r="A97" s="98" t="s">
        <v>1276</v>
      </c>
      <c r="B97" s="98" t="s">
        <v>1277</v>
      </c>
      <c r="D97" s="98" t="s">
        <v>1279</v>
      </c>
    </row>
    <row r="98">
      <c r="B98" s="98" t="s">
        <v>1280</v>
      </c>
      <c r="D98" s="98" t="s">
        <v>1281</v>
      </c>
    </row>
    <row r="99">
      <c r="B99" s="98" t="s">
        <v>1228</v>
      </c>
      <c r="D99" s="98" t="s">
        <v>1282</v>
      </c>
    </row>
    <row r="100">
      <c r="B100" s="98" t="s">
        <v>1283</v>
      </c>
      <c r="D100" s="98" t="s">
        <v>1284</v>
      </c>
    </row>
    <row r="101">
      <c r="B101" s="98" t="s">
        <v>1210</v>
      </c>
      <c r="D101" s="98" t="s">
        <v>1285</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2022-07-07T11:34:57Z</dcterms:created>
  <dc:creator>Nicola Terry;Jason Palmer</dc:creator>
</cp:coreProperties>
</file>